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/>
  <xr:revisionPtr revIDLastSave="0" documentId="8_{E8501A41-471B-4187-8C20-28BA6D68F824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2025" sheetId="1" r:id="rId1"/>
    <sheet name="2026" sheetId="4" r:id="rId2"/>
  </sheets>
  <definedNames>
    <definedName name="AprSun1" localSheetId="1">DATE('2026'!CalendarYear,4,1)-WEEKDAY(DATE('2026'!CalendarYear,4,1))</definedName>
    <definedName name="AprSun1">DATE(CalendarYear,4,1)-WEEKDAY(DATE(CalendarYear,4,1))</definedName>
    <definedName name="AugSun1" localSheetId="1">DATE('2026'!CalendarYear,8,1)-WEEKDAY(DATE('2026'!CalendarYear,8,1))</definedName>
    <definedName name="AugSun1">DATE(CalendarYear,8,1)-WEEKDAY(DATE(CalendarYear,8,1))</definedName>
    <definedName name="CalendarYear" localSheetId="1">'2026'!$AJ$1</definedName>
    <definedName name="CalendarYear">'2025'!$AJ$1</definedName>
    <definedName name="DecSun1" localSheetId="1">DATE('2026'!CalendarYear,12,1)-WEEKDAY(DATE('2026'!CalendarYear,12,1))</definedName>
    <definedName name="DecSun1">DATE(CalendarYear,12,1)-WEEKDAY(DATE(CalendarYear,12,1))</definedName>
    <definedName name="FebSun1" localSheetId="1">DATE('2026'!CalendarYear,2,1)-WEEKDAY(DATE('2026'!CalendarYear,2,1))</definedName>
    <definedName name="FebSun1">DATE(CalendarYear,2,1)-WEEKDAY(DATE(CalendarYear,2,1))</definedName>
    <definedName name="JanSun1" localSheetId="1">DATE('2026'!CalendarYear,1,1)-WEEKDAY(DATE('2026'!CalendarYear,1,1))</definedName>
    <definedName name="JanSun1">DATE(CalendarYear,1,1)-WEEKDAY(DATE(CalendarYear,1,1))</definedName>
    <definedName name="Job1_DayOff_Code">#REF!</definedName>
    <definedName name="Job1_Name">#REF!</definedName>
    <definedName name="Job1_Pattern">#REF!</definedName>
    <definedName name="Job1_Shift1_Code">#REF!</definedName>
    <definedName name="Job1_Shift2_Code">#REF!</definedName>
    <definedName name="Job1_Shift3_Code">#REF!</definedName>
    <definedName name="Job1_StartDate">#REF!</definedName>
    <definedName name="Job2_DayOff_Code">#REF!</definedName>
    <definedName name="Job2_Name">#REF!</definedName>
    <definedName name="Job2_Pattern">#REF!</definedName>
    <definedName name="Job2_Shift1_Code">#REF!</definedName>
    <definedName name="Job2_Shift2_Code">#REF!</definedName>
    <definedName name="Job2_Shift3_Code">#REF!</definedName>
    <definedName name="Job2_StartDate">#REF!</definedName>
    <definedName name="Job3_DayOff_Code">#REF!</definedName>
    <definedName name="Job3_Name">#REF!</definedName>
    <definedName name="Job3_Pattern">#REF!</definedName>
    <definedName name="Job3_Shift1_Code">#REF!</definedName>
    <definedName name="Job3_Shift2_Code">#REF!</definedName>
    <definedName name="Job3_Shift3_Code">#REF!</definedName>
    <definedName name="Job3_StartDate">#REF!</definedName>
    <definedName name="JulSun1" localSheetId="1">DATE('2026'!CalendarYear,7,1)-WEEKDAY(DATE('2026'!CalendarYear,7,1))</definedName>
    <definedName name="JulSun1">DATE(CalendarYear,7,1)-WEEKDAY(DATE(CalendarYear,7,1))</definedName>
    <definedName name="JunSun1" localSheetId="1">DATE('2026'!CalendarYear,6,1)-WEEKDAY(DATE('2026'!CalendarYear,6,1))</definedName>
    <definedName name="JunSun1">DATE(CalendarYear,6,1)-WEEKDAY(DATE(CalendarYear,6,1))</definedName>
    <definedName name="MarSun1" localSheetId="1">DATE('2026'!CalendarYear,3,1)-WEEKDAY(DATE('2026'!CalendarYear,3,1))</definedName>
    <definedName name="MarSun1">DATE(CalendarYear,3,1)-WEEKDAY(DATE(CalendarYear,3,1))</definedName>
    <definedName name="MaySun1" localSheetId="1">DATE('2026'!CalendarYear,5,1)-WEEKDAY(DATE('2026'!CalendarYear,5,1))</definedName>
    <definedName name="MaySun1">DATE(CalendarYear,5,1)-WEEKDAY(DATE(CalendarYear,5,1))</definedName>
    <definedName name="NovSun1" localSheetId="1">DATE('2026'!CalendarYear,11,1)-WEEKDAY(DATE('2026'!CalendarYear,11,1))</definedName>
    <definedName name="NovSun1">DATE(CalendarYear,11,1)-WEEKDAY(DATE(CalendarYear,11,1))</definedName>
    <definedName name="OctSun1" localSheetId="1">DATE('2026'!CalendarYear,10,1)-WEEKDAY(DATE('2026'!CalendarYear,10,1))</definedName>
    <definedName name="OctSun1">DATE(CalendarYear,10,1)-WEEKDAY(DATE(CalendarYear,10,1))</definedName>
    <definedName name="Range_Dates" localSheetId="1">'2026'!$E$5:$AO$5,'2026'!$E$58:$AO$58,'2026'!$E$113:$AO$113,'2026'!$E$169:$AO$169,'2026'!$E$229:$AO$229,'2026'!$E$289:$AO$289,'2026'!$E$349:$AO$349,'2026'!$E$409:$AO$409,'2026'!$E$469:$AO$469,'2026'!$E$531:$AO$531,'2026'!$E$591:$AO$591,'2026'!$E$651:$AO$651</definedName>
    <definedName name="Range_Dates">'2025'!$E$5:$AO$5,'2025'!$E$58:$AO$58,'2025'!$E$113:$AO$113,'2025'!$E$169:$AO$169,'2025'!$E$229:$AO$229,'2025'!$E$289:$AO$289,'2025'!$E$349:$AO$349,'2025'!$E$409:$AO$409,'2025'!$E$469:$AO$469,'2025'!$E$531:$AO$531,'2025'!$E$591:$AO$591,'2025'!$E$651:$AO$651</definedName>
    <definedName name="Range_Days" localSheetId="1">'2026'!$E$8:$AO$56,'2026'!$E$60:$AO$111,'2026'!$E$115:$AO$167,'2026'!$E$171:$AO$227,'2026'!$E$231:$AO$287,'2026'!$E$291:$AO$347,'2026'!$E$351:$AO$407,'2026'!$E$411:$AO$467,'2026'!$E$471:$AO$529,'2026'!$E$533:$AO$589,'2026'!$E$593:$AO$649,'2026'!$E$653:$AO$660</definedName>
    <definedName name="Range_Days">'2025'!$E$8:$AO$56,'2025'!$E$60:$AO$111,'2025'!$E$115:$AO$167,'2025'!$E$171:$AO$227,'2025'!$E$231:$AO$287,'2025'!$E$291:$AO$347,'2025'!$E$351:$AO$407,'2025'!$E$411:$AO$467,'2025'!$E$471:$AO$529,'2025'!$E$533:$AO$589,'2025'!$E$593:$AO$649,'2025'!$E$653:$AO$660</definedName>
    <definedName name="Range_Weekdays" localSheetId="1">'2026'!$E$6:$AO$6,'2026'!$E$59:$AO$59,'2026'!$E$114:$AO$114,'2026'!$E$170:$AO$170,'2026'!$E$230:$AO$230,'2026'!$E$290:$AO$290,'2026'!$E$350:$AO$350,'2026'!$E$410:$AO$410,'2026'!$E$470:$AO$470,'2026'!$E$532:$AO$532,'2026'!$E$592:$AO$592,'2026'!$E$652:$AO$652</definedName>
    <definedName name="Range_Weekdays">'2025'!$E$6:$AO$6,'2025'!$E$59:$AO$59,'2025'!$E$114:$AO$114,'2025'!$E$170:$AO$170,'2025'!$E$230:$AO$230,'2025'!$E$290:$AO$290,'2025'!$E$350:$AO$350,'2025'!$E$410:$AO$410,'2025'!$E$470:$AO$470,'2025'!$E$532:$AO$532,'2025'!$E$592:$AO$592,'2025'!$E$652:$AO$652</definedName>
    <definedName name="SepSun1" localSheetId="1">DATE('2026'!CalendarYear,9,1)-WEEKDAY(DATE('2026'!CalendarYear,9,1))</definedName>
    <definedName name="SepSun1">DATE(CalendarYear,9,1)-WEEKDAY(DATE(CalendarYear,9,1))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51" i="4" l="1"/>
  <c r="AN651" i="4"/>
  <c r="AM651" i="4"/>
  <c r="AL651" i="4"/>
  <c r="AK651" i="4"/>
  <c r="AJ651" i="4"/>
  <c r="AI651" i="4"/>
  <c r="AH651" i="4"/>
  <c r="AG651" i="4"/>
  <c r="AF651" i="4"/>
  <c r="AE651" i="4"/>
  <c r="AD651" i="4"/>
  <c r="AC651" i="4"/>
  <c r="AB651" i="4"/>
  <c r="AA651" i="4"/>
  <c r="Z651" i="4"/>
  <c r="Y651" i="4"/>
  <c r="X651" i="4"/>
  <c r="W651" i="4"/>
  <c r="V651" i="4"/>
  <c r="U651" i="4"/>
  <c r="T651" i="4"/>
  <c r="S651" i="4"/>
  <c r="R651" i="4"/>
  <c r="Q651" i="4"/>
  <c r="P651" i="4"/>
  <c r="O651" i="4"/>
  <c r="N651" i="4"/>
  <c r="M651" i="4"/>
  <c r="L651" i="4"/>
  <c r="K651" i="4"/>
  <c r="J651" i="4"/>
  <c r="I651" i="4"/>
  <c r="H651" i="4"/>
  <c r="G651" i="4"/>
  <c r="F651" i="4"/>
  <c r="E651" i="4"/>
  <c r="D651" i="4"/>
  <c r="AO591" i="4"/>
  <c r="AN591" i="4"/>
  <c r="AM591" i="4"/>
  <c r="AL591" i="4"/>
  <c r="AK591" i="4"/>
  <c r="AJ591" i="4"/>
  <c r="AI591" i="4"/>
  <c r="AH591" i="4"/>
  <c r="AG591" i="4"/>
  <c r="AF591" i="4"/>
  <c r="AE591" i="4"/>
  <c r="AD591" i="4"/>
  <c r="AC591" i="4"/>
  <c r="AB591" i="4"/>
  <c r="AA591" i="4"/>
  <c r="Z591" i="4"/>
  <c r="Y591" i="4"/>
  <c r="X591" i="4"/>
  <c r="W591" i="4"/>
  <c r="V591" i="4"/>
  <c r="U591" i="4"/>
  <c r="T591" i="4"/>
  <c r="S591" i="4"/>
  <c r="R591" i="4"/>
  <c r="Q591" i="4"/>
  <c r="P591" i="4"/>
  <c r="O591" i="4"/>
  <c r="N591" i="4"/>
  <c r="M591" i="4"/>
  <c r="L591" i="4"/>
  <c r="K591" i="4"/>
  <c r="J591" i="4"/>
  <c r="I591" i="4"/>
  <c r="H591" i="4"/>
  <c r="G591" i="4"/>
  <c r="F591" i="4"/>
  <c r="E591" i="4"/>
  <c r="D591" i="4"/>
  <c r="AO531" i="4"/>
  <c r="AN531" i="4"/>
  <c r="AM531" i="4"/>
  <c r="AL531" i="4"/>
  <c r="AK531" i="4"/>
  <c r="AJ531" i="4"/>
  <c r="AI531" i="4"/>
  <c r="AH531" i="4"/>
  <c r="AG531" i="4"/>
  <c r="AF531" i="4"/>
  <c r="AE531" i="4"/>
  <c r="AD531" i="4"/>
  <c r="AC531" i="4"/>
  <c r="AB531" i="4"/>
  <c r="AA531" i="4"/>
  <c r="Z531" i="4"/>
  <c r="Y531" i="4"/>
  <c r="X531" i="4"/>
  <c r="W531" i="4"/>
  <c r="V531" i="4"/>
  <c r="U531" i="4"/>
  <c r="T531" i="4"/>
  <c r="S531" i="4"/>
  <c r="R531" i="4"/>
  <c r="Q531" i="4"/>
  <c r="P531" i="4"/>
  <c r="O531" i="4"/>
  <c r="N531" i="4"/>
  <c r="M531" i="4"/>
  <c r="L531" i="4"/>
  <c r="K531" i="4"/>
  <c r="J531" i="4"/>
  <c r="I531" i="4"/>
  <c r="H531" i="4"/>
  <c r="G531" i="4"/>
  <c r="F531" i="4"/>
  <c r="E531" i="4"/>
  <c r="D531" i="4"/>
  <c r="AO469" i="4"/>
  <c r="AN469" i="4"/>
  <c r="AM469" i="4"/>
  <c r="AL469" i="4"/>
  <c r="AK469" i="4"/>
  <c r="AJ469" i="4"/>
  <c r="AI469" i="4"/>
  <c r="AH469" i="4"/>
  <c r="AG469" i="4"/>
  <c r="AF469" i="4"/>
  <c r="AE469" i="4"/>
  <c r="AD469" i="4"/>
  <c r="AC469" i="4"/>
  <c r="AB469" i="4"/>
  <c r="AA469" i="4"/>
  <c r="Z469" i="4"/>
  <c r="Y469" i="4"/>
  <c r="X469" i="4"/>
  <c r="W469" i="4"/>
  <c r="V469" i="4"/>
  <c r="U469" i="4"/>
  <c r="T469" i="4"/>
  <c r="S469" i="4"/>
  <c r="R469" i="4"/>
  <c r="Q469" i="4"/>
  <c r="P469" i="4"/>
  <c r="O469" i="4"/>
  <c r="N469" i="4"/>
  <c r="M469" i="4"/>
  <c r="L469" i="4"/>
  <c r="K469" i="4"/>
  <c r="J469" i="4"/>
  <c r="I469" i="4"/>
  <c r="H469" i="4"/>
  <c r="G469" i="4"/>
  <c r="F469" i="4"/>
  <c r="E469" i="4"/>
  <c r="D469" i="4"/>
  <c r="AO409" i="4"/>
  <c r="AN409" i="4"/>
  <c r="AM409" i="4"/>
  <c r="AL409" i="4"/>
  <c r="AK409" i="4"/>
  <c r="AJ409" i="4"/>
  <c r="AI409" i="4"/>
  <c r="AH409" i="4"/>
  <c r="AG409" i="4"/>
  <c r="AF409" i="4"/>
  <c r="AE409" i="4"/>
  <c r="AD409" i="4"/>
  <c r="AC409" i="4"/>
  <c r="AB409" i="4"/>
  <c r="AA409" i="4"/>
  <c r="Z409" i="4"/>
  <c r="Y409" i="4"/>
  <c r="X409" i="4"/>
  <c r="W409" i="4"/>
  <c r="V409" i="4"/>
  <c r="U409" i="4"/>
  <c r="T409" i="4"/>
  <c r="S409" i="4"/>
  <c r="R409" i="4"/>
  <c r="Q409" i="4"/>
  <c r="P409" i="4"/>
  <c r="O409" i="4"/>
  <c r="N409" i="4"/>
  <c r="M409" i="4"/>
  <c r="L409" i="4"/>
  <c r="K409" i="4"/>
  <c r="J409" i="4"/>
  <c r="I409" i="4"/>
  <c r="H409" i="4"/>
  <c r="G409" i="4"/>
  <c r="F409" i="4"/>
  <c r="E409" i="4"/>
  <c r="D409" i="4"/>
  <c r="AO349" i="4"/>
  <c r="AN349" i="4"/>
  <c r="AM349" i="4"/>
  <c r="AL349" i="4"/>
  <c r="AK349" i="4"/>
  <c r="AJ349" i="4"/>
  <c r="AI349" i="4"/>
  <c r="AH349" i="4"/>
  <c r="AG349" i="4"/>
  <c r="AF349" i="4"/>
  <c r="AE349" i="4"/>
  <c r="AD349" i="4"/>
  <c r="AC349" i="4"/>
  <c r="AB349" i="4"/>
  <c r="AA349" i="4"/>
  <c r="Z349" i="4"/>
  <c r="Y349" i="4"/>
  <c r="X349" i="4"/>
  <c r="W349" i="4"/>
  <c r="V349" i="4"/>
  <c r="U349" i="4"/>
  <c r="T349" i="4"/>
  <c r="S349" i="4"/>
  <c r="R349" i="4"/>
  <c r="Q349" i="4"/>
  <c r="P349" i="4"/>
  <c r="O349" i="4"/>
  <c r="N349" i="4"/>
  <c r="M349" i="4"/>
  <c r="L349" i="4"/>
  <c r="K349" i="4"/>
  <c r="J349" i="4"/>
  <c r="I349" i="4"/>
  <c r="H349" i="4"/>
  <c r="G349" i="4"/>
  <c r="F349" i="4"/>
  <c r="E349" i="4"/>
  <c r="D349" i="4"/>
  <c r="AO289" i="4"/>
  <c r="AN289" i="4"/>
  <c r="AM289" i="4"/>
  <c r="AL289" i="4"/>
  <c r="AK289" i="4"/>
  <c r="AJ289" i="4"/>
  <c r="AI289" i="4"/>
  <c r="AH289" i="4"/>
  <c r="AG289" i="4"/>
  <c r="AF289" i="4"/>
  <c r="AE289" i="4"/>
  <c r="AD289" i="4"/>
  <c r="AC289" i="4"/>
  <c r="AB289" i="4"/>
  <c r="AA289" i="4"/>
  <c r="Z289" i="4"/>
  <c r="Y289" i="4"/>
  <c r="X289" i="4"/>
  <c r="W289" i="4"/>
  <c r="V289" i="4"/>
  <c r="U289" i="4"/>
  <c r="T289" i="4"/>
  <c r="S289" i="4"/>
  <c r="R289" i="4"/>
  <c r="Q289" i="4"/>
  <c r="P289" i="4"/>
  <c r="O289" i="4"/>
  <c r="N289" i="4"/>
  <c r="M289" i="4"/>
  <c r="L289" i="4"/>
  <c r="K289" i="4"/>
  <c r="J289" i="4"/>
  <c r="I289" i="4"/>
  <c r="H289" i="4"/>
  <c r="G289" i="4"/>
  <c r="F289" i="4"/>
  <c r="E289" i="4"/>
  <c r="D289" i="4"/>
  <c r="AO229" i="4"/>
  <c r="AN229" i="4"/>
  <c r="AM229" i="4"/>
  <c r="AL229" i="4"/>
  <c r="AK229" i="4"/>
  <c r="AJ229" i="4"/>
  <c r="AI229" i="4"/>
  <c r="AH229" i="4"/>
  <c r="AG229" i="4"/>
  <c r="AF229" i="4"/>
  <c r="AE229" i="4"/>
  <c r="AD229" i="4"/>
  <c r="AC229" i="4"/>
  <c r="AB229" i="4"/>
  <c r="AA229" i="4"/>
  <c r="Z229" i="4"/>
  <c r="Y229" i="4"/>
  <c r="X229" i="4"/>
  <c r="W229" i="4"/>
  <c r="V229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D229" i="4"/>
  <c r="AO169" i="4"/>
  <c r="AN169" i="4"/>
  <c r="AM169" i="4"/>
  <c r="AL169" i="4"/>
  <c r="AK169" i="4"/>
  <c r="AJ169" i="4"/>
  <c r="AI169" i="4"/>
  <c r="AH169" i="4"/>
  <c r="AG169" i="4"/>
  <c r="AF169" i="4"/>
  <c r="AE169" i="4"/>
  <c r="AD169" i="4"/>
  <c r="AC169" i="4"/>
  <c r="AB169" i="4"/>
  <c r="AA169" i="4"/>
  <c r="Z169" i="4"/>
  <c r="Y169" i="4"/>
  <c r="X169" i="4"/>
  <c r="W169" i="4"/>
  <c r="V169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AO113" i="4"/>
  <c r="AN113" i="4"/>
  <c r="AM113" i="4"/>
  <c r="AL113" i="4"/>
  <c r="AK113" i="4"/>
  <c r="AJ113" i="4"/>
  <c r="AI113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AO5" i="4"/>
  <c r="AN5" i="4"/>
  <c r="AM5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D531" i="1"/>
  <c r="D289" i="1"/>
  <c r="D349" i="1"/>
  <c r="D409" i="1"/>
  <c r="D469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O651" i="1" l="1"/>
  <c r="AN651" i="1"/>
  <c r="AM651" i="1"/>
  <c r="AL651" i="1"/>
  <c r="AK651" i="1"/>
  <c r="AJ651" i="1"/>
  <c r="AI651" i="1"/>
  <c r="AH651" i="1"/>
  <c r="AG651" i="1"/>
  <c r="AF651" i="1"/>
  <c r="AE651" i="1"/>
  <c r="AD651" i="1"/>
  <c r="AC651" i="1"/>
  <c r="AB651" i="1"/>
  <c r="AA651" i="1"/>
  <c r="Z651" i="1"/>
  <c r="Y651" i="1"/>
  <c r="X651" i="1"/>
  <c r="W651" i="1"/>
  <c r="V651" i="1"/>
  <c r="U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AO591" i="1"/>
  <c r="AN591" i="1"/>
  <c r="AM591" i="1"/>
  <c r="AL591" i="1"/>
  <c r="AK591" i="1"/>
  <c r="AJ591" i="1"/>
  <c r="AI591" i="1"/>
  <c r="AH591" i="1"/>
  <c r="AG591" i="1"/>
  <c r="AF591" i="1"/>
  <c r="AE591" i="1"/>
  <c r="AD591" i="1"/>
  <c r="AC591" i="1"/>
  <c r="AB591" i="1"/>
  <c r="AA591" i="1"/>
  <c r="Z591" i="1"/>
  <c r="Y591" i="1"/>
  <c r="X591" i="1"/>
  <c r="W591" i="1"/>
  <c r="V591" i="1"/>
  <c r="U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AO531" i="1"/>
  <c r="AN531" i="1"/>
  <c r="AM531" i="1"/>
  <c r="AL531" i="1"/>
  <c r="AK531" i="1"/>
  <c r="AJ531" i="1"/>
  <c r="AI531" i="1"/>
  <c r="AH531" i="1"/>
  <c r="AG531" i="1"/>
  <c r="AF531" i="1"/>
  <c r="AE531" i="1"/>
  <c r="AD531" i="1"/>
  <c r="AC531" i="1"/>
  <c r="AB531" i="1"/>
  <c r="AA531" i="1"/>
  <c r="Z531" i="1"/>
  <c r="Y531" i="1"/>
  <c r="X531" i="1"/>
  <c r="W531" i="1"/>
  <c r="V531" i="1"/>
  <c r="U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AO469" i="1"/>
  <c r="AN469" i="1"/>
  <c r="AM469" i="1"/>
  <c r="AL469" i="1"/>
  <c r="AK469" i="1"/>
  <c r="AJ469" i="1"/>
  <c r="AI469" i="1"/>
  <c r="AH469" i="1"/>
  <c r="AG469" i="1"/>
  <c r="AF469" i="1"/>
  <c r="AE469" i="1"/>
  <c r="AD469" i="1"/>
  <c r="AC469" i="1"/>
  <c r="AB469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AO409" i="1"/>
  <c r="AN409" i="1"/>
  <c r="AM409" i="1"/>
  <c r="AL409" i="1"/>
  <c r="AK409" i="1"/>
  <c r="AJ409" i="1"/>
  <c r="AI409" i="1"/>
  <c r="AH409" i="1"/>
  <c r="AG409" i="1"/>
  <c r="AF409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AO349" i="1"/>
  <c r="AN349" i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F5" i="1"/>
  <c r="E5" i="1"/>
  <c r="D113" i="1"/>
  <c r="AO5" i="1" l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D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<sst xmlns="http://schemas.openxmlformats.org/spreadsheetml/2006/main" count="2056" uniqueCount="64">
  <si>
    <t xml:space="preserve">British Orienteering Equipment Calendar </t>
  </si>
  <si>
    <t>Quantity</t>
  </si>
  <si>
    <t>Su</t>
  </si>
  <si>
    <t>Mo</t>
  </si>
  <si>
    <t>Tu</t>
  </si>
  <si>
    <t>We</t>
  </si>
  <si>
    <t>Th</t>
  </si>
  <si>
    <t>Fr</t>
  </si>
  <si>
    <t>Sa</t>
  </si>
  <si>
    <t>Sundry</t>
  </si>
  <si>
    <t xml:space="preserve">Podium </t>
  </si>
  <si>
    <t>Map Boxes (34cm x 46cm x 23cm)</t>
  </si>
  <si>
    <t>Hi Viz Jackets with British Orienteering logo</t>
  </si>
  <si>
    <t>Hi Viz Jackets long sleeve with British Orienteering logo</t>
  </si>
  <si>
    <t>Hi Viz Jackets with Ties ‘Ask me for Help’</t>
  </si>
  <si>
    <t>Hi Viz Jackets with Ties ‘Event Marshall’</t>
  </si>
  <si>
    <t>Hi Viz Jackets with British Orienteering logo ‘Event Marshall’</t>
  </si>
  <si>
    <t>Hi Viz Jackets with British Orienteering logo ‘Official Photographer’</t>
  </si>
  <si>
    <t>Hi Viz Jackets with British Orienteering logo ‘Event Safety Officer’</t>
  </si>
  <si>
    <t>A4 Weather Writer</t>
  </si>
  <si>
    <t>Foam Fingers with British Orienteering logo</t>
  </si>
  <si>
    <t>Megaphone-needs batteries</t>
  </si>
  <si>
    <t>Results boards-clear plastic 1.5m x 0.7m</t>
  </si>
  <si>
    <t>BOF Cloth Banners (78cm wide)</t>
  </si>
  <si>
    <t>5 rolls</t>
  </si>
  <si>
    <t>Meshing (various lengths &amp; colours)</t>
  </si>
  <si>
    <t>30 rolls</t>
  </si>
  <si>
    <t>Plastic Stakes (height 1.05m)</t>
  </si>
  <si>
    <t>150 approx.</t>
  </si>
  <si>
    <t>Iron Stakes (height 1.32m)</t>
  </si>
  <si>
    <t>Cones Small</t>
  </si>
  <si>
    <t>Cones Medium</t>
  </si>
  <si>
    <t>Cones Large</t>
  </si>
  <si>
    <t>Orienteering Straight ahead 4’ X 2’ red and blue background</t>
  </si>
  <si>
    <t>Orienteering Straight ahead 4’ X 2’ white background</t>
  </si>
  <si>
    <t>Orienteering this way right arrow 4’ X 2’ red and blue background</t>
  </si>
  <si>
    <t>Orienteering this way right arrow 4’ X 2’ white background</t>
  </si>
  <si>
    <t>Orienteering this way left arrow 4’ X 3’ red and blue background</t>
  </si>
  <si>
    <t>Orienteering this way left arrow 4’ X 3’ white background</t>
  </si>
  <si>
    <t>Start</t>
  </si>
  <si>
    <t>Finish (1 ground stake missing)</t>
  </si>
  <si>
    <t>British Orienteering</t>
  </si>
  <si>
    <t>JK</t>
  </si>
  <si>
    <t>Jan Kjellstrom-Festival of Orienteering 10’ x 2’</t>
  </si>
  <si>
    <t>JK Orienteering-TheJK.org.uk 10’ x 2’</t>
  </si>
  <si>
    <t>British Night Orienteering Championships 10’ x 2’</t>
  </si>
  <si>
    <t>British Orienteering Championships 10’ x 2’</t>
  </si>
  <si>
    <t>British Orienteering 6’ x 3’</t>
  </si>
  <si>
    <t>British Orienteering 6’ x 2’</t>
  </si>
  <si>
    <t>British Orienteering 4’ x 2’</t>
  </si>
  <si>
    <t>British Orienteering website address 10’ x 2’</t>
  </si>
  <si>
    <t>British Orienteering website address 6’ x 2’</t>
  </si>
  <si>
    <t>Start 10’ x 2’6</t>
  </si>
  <si>
    <t>Finish 10’ x 2’6</t>
  </si>
  <si>
    <t>Try Orienteering Navigate The Maze O 33’ x 3’</t>
  </si>
  <si>
    <t>Yvette Baker Trophy 10’ x 2’</t>
  </si>
  <si>
    <t>British Schools Orienteering Championships 10’ x 2’</t>
  </si>
  <si>
    <t>Gazebo</t>
  </si>
  <si>
    <t>Booked but not taken yet</t>
  </si>
  <si>
    <t xml:space="preserve">Taken and in use </t>
  </si>
  <si>
    <t xml:space="preserve">Returned </t>
  </si>
  <si>
    <t xml:space="preserve">BNOC- Alan Rosen- x2 </t>
  </si>
  <si>
    <t>BNOC- Alan Rosen- x30</t>
  </si>
  <si>
    <t>BNOC- Alan Rosen- 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</si>
</sst>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mmmm\ yyyy"/>
    <numFmt numFmtId="166" formatCode=";;;"/>
  </numFmts>
  <fonts count="19" x14ac:knownFonts="1">
    <font>
      <sz val="11"/>
      <color theme="1"/>
      <name val="Franklin Gothic Book"/>
      <family val="2"/>
      <scheme val="minor"/>
    </font>
    <font>
      <sz val="11"/>
      <color theme="0" tint="-0.499984740745262"/>
      <name val="Calibri"/>
      <family val="2"/>
    </font>
    <font>
      <sz val="40"/>
      <color theme="7" tint="-0.499984740745262"/>
      <name val="Franklin Gothic Medium"/>
      <family val="2"/>
      <scheme val="major"/>
    </font>
    <font>
      <b/>
      <sz val="22"/>
      <color theme="0" tint="-0.499984740745262"/>
      <name val="Franklin Gothic Book"/>
      <family val="2"/>
      <scheme val="minor"/>
    </font>
    <font>
      <sz val="11"/>
      <color theme="0" tint="-0.499984740745262"/>
      <name val="Franklin Gothic Book"/>
      <family val="2"/>
      <scheme val="minor"/>
    </font>
    <font>
      <sz val="42"/>
      <color theme="3" tint="-0.499984740745262"/>
      <name val="Franklin Gothic Medium"/>
      <family val="2"/>
      <scheme val="major"/>
    </font>
    <font>
      <sz val="11"/>
      <color theme="0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b/>
      <sz val="9"/>
      <color theme="1" tint="4.9989318521683403E-2"/>
      <name val="Franklin Gothic Book"/>
      <family val="2"/>
      <scheme val="minor"/>
    </font>
    <font>
      <b/>
      <sz val="9"/>
      <color theme="3" tint="-0.249977111117893"/>
      <name val="Franklin Gothic Book"/>
      <family val="2"/>
      <scheme val="minor"/>
    </font>
    <font>
      <b/>
      <sz val="9"/>
      <color theme="0"/>
      <name val="Franklin Gothic Book"/>
      <family val="2"/>
      <scheme val="minor"/>
    </font>
    <font>
      <b/>
      <sz val="9"/>
      <color theme="1"/>
      <name val="Franklin Gothic Book"/>
      <family val="2"/>
      <scheme val="minor"/>
    </font>
    <font>
      <sz val="14"/>
      <color theme="0"/>
      <name val="Franklin Gothic Medium"/>
      <family val="2"/>
      <scheme val="major"/>
    </font>
    <font>
      <sz val="10"/>
      <color theme="0"/>
      <name val="Franklin Gothic Book"/>
      <family val="2"/>
      <scheme val="minor"/>
    </font>
    <font>
      <sz val="12"/>
      <color theme="1"/>
      <name val="Aptos"/>
      <family val="2"/>
    </font>
    <font>
      <sz val="14"/>
      <color rgb="FFFF0000"/>
      <name val="Franklin Gothic Medium"/>
      <family val="2"/>
      <scheme val="major"/>
    </font>
    <font>
      <sz val="8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8" tint="-0.24994659260841701"/>
        <bgColor indexed="65"/>
      </patternFill>
    </fill>
    <fill>
      <patternFill patternType="solid">
        <fgColor theme="6" tint="-0.499984740745262"/>
        <bgColor indexed="65"/>
      </patternFill>
    </fill>
    <fill>
      <patternFill patternType="lightDown">
        <fgColor theme="3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</borders>
  <cellStyleXfs count="9">
    <xf numFmtId="0" fontId="0" fillId="0" borderId="0"/>
    <xf numFmtId="0" fontId="7" fillId="0" borderId="0"/>
    <xf numFmtId="0" fontId="9" fillId="3" borderId="3">
      <alignment horizontal="center" vertical="center"/>
    </xf>
    <xf numFmtId="0" fontId="10" fillId="0" borderId="3" applyNumberFormat="0">
      <alignment horizontal="center" vertical="center"/>
    </xf>
    <xf numFmtId="0" fontId="11" fillId="4" borderId="3">
      <alignment horizontal="center" vertical="center"/>
    </xf>
    <xf numFmtId="0" fontId="9" fillId="2" borderId="3">
      <alignment horizontal="center" vertical="center"/>
    </xf>
    <xf numFmtId="0" fontId="11" fillId="5" borderId="3" applyNumberFormat="0">
      <alignment horizontal="center" vertical="center"/>
    </xf>
    <xf numFmtId="0" fontId="12" fillId="6" borderId="3" applyNumberFormat="0">
      <alignment horizontal="center" vertical="center"/>
    </xf>
    <xf numFmtId="0" fontId="18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6" fontId="8" fillId="0" borderId="5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/>
    </xf>
    <xf numFmtId="164" fontId="14" fillId="8" borderId="4" xfId="0" applyNumberFormat="1" applyFont="1" applyFill="1" applyBorder="1" applyAlignment="1">
      <alignment horizontal="center" vertical="center"/>
    </xf>
    <xf numFmtId="164" fontId="14" fillId="8" borderId="8" xfId="0" applyNumberFormat="1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4" fillId="9" borderId="0" xfId="0" applyFont="1" applyFill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165" fontId="16" fillId="10" borderId="0" xfId="0" applyNumberFormat="1" applyFont="1" applyFill="1" applyAlignment="1">
      <alignment horizontal="center" vertical="center"/>
    </xf>
    <xf numFmtId="0" fontId="0" fillId="9" borderId="9" xfId="0" applyFill="1" applyBorder="1" applyAlignment="1">
      <alignment horizontal="left" vertical="center" indent="1"/>
    </xf>
    <xf numFmtId="0" fontId="15" fillId="9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164" fontId="14" fillId="8" borderId="0" xfId="0" applyNumberFormat="1" applyFont="1" applyFill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9" borderId="15" xfId="0" applyFill="1" applyBorder="1" applyAlignment="1">
      <alignment horizontal="left" vertical="center" indent="1"/>
    </xf>
    <xf numFmtId="0" fontId="15" fillId="9" borderId="16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2" fillId="0" borderId="0" xfId="0" applyFont="1"/>
    <xf numFmtId="0" fontId="0" fillId="9" borderId="12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164" fontId="14" fillId="8" borderId="0" xfId="0" applyNumberFormat="1" applyFont="1" applyFill="1" applyAlignment="1">
      <alignment horizontal="center" vertical="center"/>
    </xf>
    <xf numFmtId="165" fontId="13" fillId="8" borderId="7" xfId="0" applyNumberFormat="1" applyFont="1" applyFill="1" applyBorder="1" applyAlignment="1">
      <alignment horizontal="center" vertical="center"/>
    </xf>
    <xf numFmtId="165" fontId="13" fillId="8" borderId="11" xfId="0" applyNumberFormat="1" applyFont="1" applyFill="1" applyBorder="1" applyAlignment="1">
      <alignment horizontal="center" vertical="center"/>
    </xf>
    <xf numFmtId="165" fontId="13" fillId="8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8" fillId="9" borderId="17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/>
    </xf>
    <xf numFmtId="0" fontId="18" fillId="9" borderId="17" xfId="8" applyFill="1" applyBorder="1" applyAlignment="1">
      <alignment horizontal="center" vertical="center"/>
    </xf>
    <xf numFmtId="0" fontId="18" fillId="9" borderId="18" xfId="8" applyFill="1" applyBorder="1" applyAlignment="1">
      <alignment horizontal="center" vertical="center"/>
    </xf>
    <xf numFmtId="0" fontId="18" fillId="9" borderId="19" xfId="8" applyFill="1" applyBorder="1" applyAlignment="1">
      <alignment horizontal="center" vertical="center"/>
    </xf>
  </cellXfs>
  <cellStyles count="9">
    <cellStyle name="Day Off" xfId="3" xr:uid="{00000000-0005-0000-0000-000000000000}"/>
    <cellStyle name="Day Shift" xfId="2" xr:uid="{00000000-0005-0000-0000-000001000000}"/>
    <cellStyle name="Day/Night Shift" xfId="5" xr:uid="{00000000-0005-0000-0000-000002000000}"/>
    <cellStyle name="Holidays" xfId="6" xr:uid="{00000000-0005-0000-0000-000003000000}"/>
    <cellStyle name="Hyperlink" xfId="8" builtinId="8"/>
    <cellStyle name="Night Shift" xfId="4" xr:uid="{00000000-0005-0000-0000-000004000000}"/>
    <cellStyle name="Non Working" xfId="7" xr:uid="{00000000-0005-0000-0000-000005000000}"/>
    <cellStyle name="Normal" xfId="0" builtinId="0"/>
    <cellStyle name="Normal 2" xfId="1" xr:uid="{00000000-0005-0000-0000-000007000000}"/>
  </cellStyles>
  <dxfs count="56"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theme="3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theme="3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Spin" dx="16" fmlaLink="CalendarYear" max="2999" min="1900" page="10" val="2025"/>
</file>

<file path=xl/ctrlProps/ctrlProp2.xml><?xml version="1.0" encoding="utf-8"?>
<formControlPr xmlns="http://schemas.microsoft.com/office/spreadsheetml/2009/9/main" objectType="Spin" dx="16" fmlaLink="CalendarYear" max="2999" min="1900" page="10" val="2026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85725</xdr:colOff>
          <xdr:row>0</xdr:row>
          <xdr:rowOff>476250</xdr:rowOff>
        </xdr:from>
        <xdr:to>
          <xdr:col>36</xdr:col>
          <xdr:colOff>0</xdr:colOff>
          <xdr:row>1</xdr:row>
          <xdr:rowOff>0</xdr:rowOff>
        </xdr:to>
        <xdr:sp macro="" textlink="">
          <xdr:nvSpPr>
            <xdr:cNvPr id="1025" name="Spinner" descr="Use the spinner button to change calendar year or change the year in cell AE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85725</xdr:colOff>
          <xdr:row>0</xdr:row>
          <xdr:rowOff>476250</xdr:rowOff>
        </xdr:from>
        <xdr:to>
          <xdr:col>36</xdr:col>
          <xdr:colOff>0</xdr:colOff>
          <xdr:row>1</xdr:row>
          <xdr:rowOff>0</xdr:rowOff>
        </xdr:to>
        <xdr:sp macro="" textlink="">
          <xdr:nvSpPr>
            <xdr:cNvPr id="3073" name="Spinner" descr="Use the spinner button to change calendar year or change the year in cell AE3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37824A92-C6FF-47A8-BDC0-991B85A568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ift Work Calendar">
  <a:themeElements>
    <a:clrScheme name="Letterhead-1">
      <a:dk1>
        <a:srgbClr val="000000"/>
      </a:dk1>
      <a:lt1>
        <a:srgbClr val="FFFFFF"/>
      </a:lt1>
      <a:dk2>
        <a:srgbClr val="5E5E5E"/>
      </a:dk2>
      <a:lt2>
        <a:srgbClr val="D6D5D5"/>
      </a:lt2>
      <a:accent1>
        <a:srgbClr val="DF2D25"/>
      </a:accent1>
      <a:accent2>
        <a:srgbClr val="F9D423"/>
      </a:accent2>
      <a:accent3>
        <a:srgbClr val="62C99E"/>
      </a:accent3>
      <a:accent4>
        <a:srgbClr val="45B9EC"/>
      </a:accent4>
      <a:accent5>
        <a:srgbClr val="9B4BA6"/>
      </a:accent5>
      <a:accent6>
        <a:srgbClr val="EF2F94"/>
      </a:accent6>
      <a:hlink>
        <a:srgbClr val="0000FF"/>
      </a:hlink>
      <a:folHlink>
        <a:srgbClr val="FF00FF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Whit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38100" tIns="38100" rIns="38100" bIns="381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30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38100" dist="12700" dir="5400000" rotWithShape="0">
                <a:srgbClr val="000000">
                  <a:alpha val="50000"/>
                </a:srgbClr>
              </a:outerShdw>
            </a:effectLst>
            <a:uFillTx/>
            <a:latin typeface="+mn-lt"/>
            <a:ea typeface="+mn-ea"/>
            <a:cs typeface="+mn-cs"/>
            <a:sym typeface="Gill Sans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381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32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Gill Sans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  <a:extLst>
    <a:ext uri="{05A4C25C-085E-4340-85A3-A5531E510DB2}">
      <thm15:themeFamily xmlns:thm15="http://schemas.microsoft.com/office/thememl/2012/main" name=" ShiftCalendar" id="{C0C15053-41A7-A842-8BD5-207B5038EBEC}" vid="{EDF4B661-04CF-B74B-852D-F3AE147C5ED3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Signed%20loan%20aggrements/HH%20BNC%20Feb%2026%20completed%20by%20Alan%20Rosen.docx" TargetMode="Externa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C1:AS701"/>
  <sheetViews>
    <sheetView showGridLines="0" topLeftCell="C1" zoomScale="50" zoomScaleNormal="50" workbookViewId="0">
      <selection activeCell="Y11" sqref="Y11"/>
    </sheetView>
  </sheetViews>
  <sheetFormatPr defaultColWidth="0" defaultRowHeight="19" customHeight="1" x14ac:dyDescent="0.4"/>
  <cols>
    <col min="1" max="2" width="8.84375" style="6" hidden="1" customWidth="1"/>
    <col min="3" max="3" width="1.765625" style="6" customWidth="1"/>
    <col min="4" max="4" width="21.765625" style="6" customWidth="1"/>
    <col min="5" max="44" width="3.3046875" style="6" customWidth="1"/>
    <col min="45" max="45" width="1.765625" style="6" customWidth="1"/>
    <col min="46" max="16384" width="8.84375" style="6" hidden="1"/>
  </cols>
  <sheetData>
    <row r="1" spans="4:44" s="1" customFormat="1" ht="65.25" customHeight="1" x14ac:dyDescent="1.35"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45" t="e" vm="1">
        <v>#VALUE!</v>
      </c>
      <c r="AF1" s="45"/>
      <c r="AG1" s="45"/>
      <c r="AH1" s="45"/>
      <c r="AI1" s="45"/>
      <c r="AJ1" s="44">
        <v>2025</v>
      </c>
      <c r="AK1" s="44"/>
      <c r="AL1" s="44"/>
      <c r="AM1" s="44"/>
      <c r="AN1" s="44"/>
      <c r="AO1" s="44"/>
      <c r="AP1" s="28"/>
      <c r="AQ1" s="28"/>
      <c r="AR1" s="28"/>
    </row>
    <row r="2" spans="4:44" customFormat="1" ht="9" customHeight="1" x14ac:dyDescent="0.4"/>
    <row r="3" spans="4:44" customFormat="1" ht="19" customHeight="1" x14ac:dyDescent="0.4">
      <c r="AE3" s="13"/>
      <c r="AF3" s="6"/>
    </row>
    <row r="4" spans="4:44" customFormat="1" ht="9" customHeight="1" x14ac:dyDescent="0.4"/>
    <row r="5" spans="4:44" s="10" customFormat="1" ht="19" customHeight="1" x14ac:dyDescent="0.4">
      <c r="D5" s="41">
        <f>DATE(CalendarYear,1,1)</f>
        <v>45658</v>
      </c>
      <c r="E5" s="16" t="str">
        <f>IF(DAY(JanSun1)=1,"",IF(AND(YEAR(JanSun1+1)=CalendarYear,MONTH(JanSun1+1)=1),JanSun1+1,""))</f>
        <v/>
      </c>
      <c r="F5" s="16" t="str">
        <f>IF(DAY(JanSun1)=1,"",IF(AND(YEAR(JanSun1+2)=CalendarYear,MONTH(JanSun1+2)=1),JanSun1+2,""))</f>
        <v/>
      </c>
      <c r="G5" s="16" t="str">
        <f>IF(DAY(JanSun1)=1,"",IF(AND(YEAR(JanSun1+3)=CalendarYear,MONTH(JanSun1+3)=1),JanSun1+3,""))</f>
        <v/>
      </c>
      <c r="H5" s="16">
        <f>IF(DAY(JanSun1)=1,"",IF(AND(YEAR(JanSun1+4)=CalendarYear,MONTH(JanSun1+4)=1),JanSun1+4,""))</f>
        <v>45658</v>
      </c>
      <c r="I5" s="16">
        <f>IF(DAY(JanSun1)=1,"",IF(AND(YEAR(JanSun1+5)=CalendarYear,MONTH(JanSun1+5)=1),JanSun1+5,""))</f>
        <v>45659</v>
      </c>
      <c r="J5" s="16">
        <f>IF(DAY(JanSun1)=1,"",IF(AND(YEAR(JanSun1+6)=CalendarYear,MONTH(JanSun1+6)=1),JanSun1+6,""))</f>
        <v>45660</v>
      </c>
      <c r="K5" s="16">
        <f>IF(DAY(JanSun1)=1,IF(AND(YEAR(JanSun1)=CalendarYear,MONTH(JanSun1)=1),JanSun1,""),IF(AND(YEAR(JanSun1+7)=CalendarYear,MONTH(JanSun1+7)=1),JanSun1+7,""))</f>
        <v>45661</v>
      </c>
      <c r="L5" s="16">
        <f>IF(DAY(JanSun1)=1,IF(AND(YEAR(JanSun1+1)=CalendarYear,MONTH(JanSun1+1)=1),JanSun1+1,""),IF(AND(YEAR(JanSun1+8)=CalendarYear,MONTH(JanSun1+8)=1),JanSun1+8,""))</f>
        <v>45662</v>
      </c>
      <c r="M5" s="16">
        <f>IF(DAY(JanSun1)=1,IF(AND(YEAR(JanSun1+2)=CalendarYear,MONTH(JanSun1+2)=1),JanSun1+2,""),IF(AND(YEAR(JanSun1+9)=CalendarYear,MONTH(JanSun1+9)=1),JanSun1+9,""))</f>
        <v>45663</v>
      </c>
      <c r="N5" s="16">
        <f>IF(DAY(JanSun1)=1,IF(AND(YEAR(JanSun1+3)=CalendarYear,MONTH(JanSun1+3)=1),JanSun1+3,""),IF(AND(YEAR(JanSun1+10)=CalendarYear,MONTH(JanSun1+10)=1),JanSun1+10,""))</f>
        <v>45664</v>
      </c>
      <c r="O5" s="16">
        <f>IF(DAY(JanSun1)=1,IF(AND(YEAR(JanSun1+4)=CalendarYear,MONTH(JanSun1+4)=1),JanSun1+4,""),IF(AND(YEAR(JanSun1+11)=CalendarYear,MONTH(JanSun1+11)=1),JanSun1+11,""))</f>
        <v>45665</v>
      </c>
      <c r="P5" s="16">
        <f>IF(DAY(JanSun1)=1,IF(AND(YEAR(JanSun1+5)=CalendarYear,MONTH(JanSun1+5)=1),JanSun1+5,""),IF(AND(YEAR(JanSun1+12)=CalendarYear,MONTH(JanSun1+12)=1),JanSun1+12,""))</f>
        <v>45666</v>
      </c>
      <c r="Q5" s="16">
        <f>IF(DAY(JanSun1)=1,IF(AND(YEAR(JanSun1+6)=CalendarYear,MONTH(JanSun1+6)=1),JanSun1+6,""),IF(AND(YEAR(JanSun1+13)=CalendarYear,MONTH(JanSun1+13)=1),JanSun1+13,""))</f>
        <v>45667</v>
      </c>
      <c r="R5" s="16">
        <f>IF(DAY(JanSun1)=1,IF(AND(YEAR(JanSun1+7)=CalendarYear,MONTH(JanSun1+7)=1),JanSun1+7,""),IF(AND(YEAR(JanSun1+14)=CalendarYear,MONTH(JanSun1+14)=1),JanSun1+14,""))</f>
        <v>45668</v>
      </c>
      <c r="S5" s="16">
        <f>IF(DAY(JanSun1)=1,IF(AND(YEAR(JanSun1+8)=CalendarYear,MONTH(JanSun1+8)=1),JanSun1+8,""),IF(AND(YEAR(JanSun1+15)=CalendarYear,MONTH(JanSun1+15)=1),JanSun1+15,""))</f>
        <v>45669</v>
      </c>
      <c r="T5" s="16">
        <f>IF(DAY(JanSun1)=1,IF(AND(YEAR(JanSun1+9)=CalendarYear,MONTH(JanSun1+9)=1),JanSun1+9,""),IF(AND(YEAR(JanSun1+16)=CalendarYear,MONTH(JanSun1+16)=1),JanSun1+16,""))</f>
        <v>45670</v>
      </c>
      <c r="U5" s="16">
        <f>IF(DAY(JanSun1)=1,IF(AND(YEAR(JanSun1+10)=CalendarYear,MONTH(JanSun1+10)=1),JanSun1+10,""),IF(AND(YEAR(JanSun1+17)=CalendarYear,MONTH(JanSun1+17)=1),JanSun1+17,""))</f>
        <v>45671</v>
      </c>
      <c r="V5" s="16">
        <f>IF(DAY(JanSun1)=1,IF(AND(YEAR(JanSun1+11)=CalendarYear,MONTH(JanSun1+11)=1),JanSun1+11,""),IF(AND(YEAR(JanSun1+18)=CalendarYear,MONTH(JanSun1+18)=1),JanSun1+18,""))</f>
        <v>45672</v>
      </c>
      <c r="W5" s="16">
        <f>IF(DAY(JanSun1)=1,IF(AND(YEAR(JanSun1+12)=CalendarYear,MONTH(JanSun1+12)=1),JanSun1+12,""),IF(AND(YEAR(JanSun1+19)=CalendarYear,MONTH(JanSun1+19)=1),JanSun1+19,""))</f>
        <v>45673</v>
      </c>
      <c r="X5" s="16">
        <f>IF(DAY(JanSun1)=1,IF(AND(YEAR(JanSun1+13)=CalendarYear,MONTH(JanSun1+13)=1),JanSun1+13,""),IF(AND(YEAR(JanSun1+20)=CalendarYear,MONTH(JanSun1+20)=1),JanSun1+20,""))</f>
        <v>45674</v>
      </c>
      <c r="Y5" s="16">
        <f>IF(DAY(JanSun1)=1,IF(AND(YEAR(JanSun1+14)=CalendarYear,MONTH(JanSun1+14)=1),JanSun1+14,""),IF(AND(YEAR(JanSun1+21)=CalendarYear,MONTH(JanSun1+21)=1),JanSun1+21,""))</f>
        <v>45675</v>
      </c>
      <c r="Z5" s="16">
        <f>IF(DAY(JanSun1)=1,IF(AND(YEAR(JanSun1+15)=CalendarYear,MONTH(JanSun1+15)=1),JanSun1+15,""),IF(AND(YEAR(JanSun1+22)=CalendarYear,MONTH(JanSun1+22)=1),JanSun1+22,""))</f>
        <v>45676</v>
      </c>
      <c r="AA5" s="16">
        <f>IF(DAY(JanSun1)=1,IF(AND(YEAR(JanSun1+16)=CalendarYear,MONTH(JanSun1+16)=1),JanSun1+16,""),IF(AND(YEAR(JanSun1+23)=CalendarYear,MONTH(JanSun1+23)=1),JanSun1+23,""))</f>
        <v>45677</v>
      </c>
      <c r="AB5" s="16">
        <f>IF(DAY(JanSun1)=1,IF(AND(YEAR(JanSun1+17)=CalendarYear,MONTH(JanSun1+17)=1),JanSun1+17,""),IF(AND(YEAR(JanSun1+24)=CalendarYear,MONTH(JanSun1+24)=1),JanSun1+24,""))</f>
        <v>45678</v>
      </c>
      <c r="AC5" s="16">
        <f>IF(DAY(JanSun1)=1,IF(AND(YEAR(JanSun1+18)=CalendarYear,MONTH(JanSun1+18)=1),JanSun1+18,""),IF(AND(YEAR(JanSun1+25)=CalendarYear,MONTH(JanSun1+25)=1),JanSun1+25,""))</f>
        <v>45679</v>
      </c>
      <c r="AD5" s="16">
        <f>IF(DAY(JanSun1)=1,IF(AND(YEAR(JanSun1+19)=CalendarYear,MONTH(JanSun1+19)=1),JanSun1+19,""),IF(AND(YEAR(JanSun1+26)=CalendarYear,MONTH(JanSun1+26)=1),JanSun1+26,""))</f>
        <v>45680</v>
      </c>
      <c r="AE5" s="16">
        <f>IF(DAY(JanSun1)=1,IF(AND(YEAR(JanSun1+20)=CalendarYear,MONTH(JanSun1+20)=1),JanSun1+20,""),IF(AND(YEAR(JanSun1+27)=CalendarYear,MONTH(JanSun1+27)=1),JanSun1+27,""))</f>
        <v>45681</v>
      </c>
      <c r="AF5" s="16">
        <f>IF(DAY(JanSun1)=1,IF(AND(YEAR(JanSun1+21)=CalendarYear,MONTH(JanSun1+21)=1),JanSun1+21,""),IF(AND(YEAR(JanSun1+28)=CalendarYear,MONTH(JanSun1+28)=1),JanSun1+28,""))</f>
        <v>45682</v>
      </c>
      <c r="AG5" s="16">
        <f>IF(DAY(JanSun1)=1,IF(AND(YEAR(JanSun1+22)=CalendarYear,MONTH(JanSun1+22)=1),JanSun1+22,""),IF(AND(YEAR(JanSun1+29)=CalendarYear,MONTH(JanSun1+29)=1),JanSun1+29,""))</f>
        <v>45683</v>
      </c>
      <c r="AH5" s="16">
        <f>IF(DAY(JanSun1)=1,IF(AND(YEAR(JanSun1+23)=CalendarYear,MONTH(JanSun1+23)=1),JanSun1+23,""),IF(AND(YEAR(JanSun1+30)=CalendarYear,MONTH(JanSun1+30)=1),JanSun1+30,""))</f>
        <v>45684</v>
      </c>
      <c r="AI5" s="16">
        <f>IF(DAY(JanSun1)=1,IF(AND(YEAR(JanSun1+24)=CalendarYear,MONTH(JanSun1+24)=1),JanSun1+24,""),IF(AND(YEAR(JanSun1+31)=CalendarYear,MONTH(JanSun1+31)=1),JanSun1+31,""))</f>
        <v>45685</v>
      </c>
      <c r="AJ5" s="16">
        <f>IF(DAY(JanSun1)=1,IF(AND(YEAR(JanSun1+25)=CalendarYear,MONTH(JanSun1+25)=1),JanSun1+25,""),IF(AND(YEAR(JanSun1+32)=CalendarYear,MONTH(JanSun1+32)=1),JanSun1+32,""))</f>
        <v>45686</v>
      </c>
      <c r="AK5" s="16">
        <f>IF(DAY(JanSun1)=1,IF(AND(YEAR(JanSun1+26)=CalendarYear,MONTH(JanSun1+26)=1),JanSun1+26,""),IF(AND(YEAR(JanSun1+33)=CalendarYear,MONTH(JanSun1+33)=1),JanSun1+33,""))</f>
        <v>45687</v>
      </c>
      <c r="AL5" s="16">
        <f>IF(DAY(JanSun1)=1,IF(AND(YEAR(JanSun1+27)=CalendarYear,MONTH(JanSun1+27)=1),JanSun1+27,""),IF(AND(YEAR(JanSun1+34)=CalendarYear,MONTH(JanSun1+34)=1),JanSun1+34,""))</f>
        <v>45688</v>
      </c>
      <c r="AM5" s="16" t="str">
        <f>IF(DAY(JanSun1)=1,IF(AND(YEAR(JanSun1+28)=CalendarYear,MONTH(JanSun1+28)=1),JanSun1+28,""),IF(AND(YEAR(JanSun1+35)=CalendarYear,MONTH(JanSun1+35)=1),JanSun1+35,""))</f>
        <v/>
      </c>
      <c r="AN5" s="16" t="str">
        <f>IF(DAY(JanSun1)=1,IF(AND(YEAR(JanSun1+29)=CalendarYear,MONTH(JanSun1+29)=1),JanSun1+29,""),IF(AND(YEAR(JanSun1+36)=CalendarYear,MONTH(JanSun1+36)=1),JanSun1+36,""))</f>
        <v/>
      </c>
      <c r="AO5" s="17" t="str">
        <f>IF(DAY(JanSun1)=1,IF(AND(YEAR(JanSun1+30)=CalendarYear,MONTH(JanSun1+30)=1),JanSun1+30,""),IF(AND(YEAR(JanSun1+37)=CalendarYear,MONTH(JanSun1+37)=1),JanSun1+37,""))</f>
        <v/>
      </c>
      <c r="AP5" s="40" t="s">
        <v>1</v>
      </c>
      <c r="AQ5" s="40"/>
      <c r="AR5" s="40"/>
    </row>
    <row r="6" spans="4:44" s="10" customFormat="1" ht="19" customHeight="1" x14ac:dyDescent="0.4">
      <c r="D6" s="42"/>
      <c r="E6" s="11" t="s">
        <v>2</v>
      </c>
      <c r="F6" s="11" t="s">
        <v>3</v>
      </c>
      <c r="G6" s="11" t="s">
        <v>4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2</v>
      </c>
      <c r="M6" s="18" t="s">
        <v>3</v>
      </c>
      <c r="N6" s="18" t="s">
        <v>4</v>
      </c>
      <c r="O6" s="18" t="s">
        <v>5</v>
      </c>
      <c r="P6" s="18" t="s">
        <v>6</v>
      </c>
      <c r="Q6" s="18" t="s">
        <v>7</v>
      </c>
      <c r="R6" s="18" t="s">
        <v>8</v>
      </c>
      <c r="S6" s="18" t="s">
        <v>2</v>
      </c>
      <c r="T6" s="18" t="s">
        <v>3</v>
      </c>
      <c r="U6" s="18" t="s">
        <v>4</v>
      </c>
      <c r="V6" s="18" t="s">
        <v>5</v>
      </c>
      <c r="W6" s="18" t="s">
        <v>6</v>
      </c>
      <c r="X6" s="18" t="s">
        <v>7</v>
      </c>
      <c r="Y6" s="18" t="s">
        <v>8</v>
      </c>
      <c r="Z6" s="18" t="s">
        <v>2</v>
      </c>
      <c r="AA6" s="18" t="s">
        <v>3</v>
      </c>
      <c r="AB6" s="18" t="s">
        <v>4</v>
      </c>
      <c r="AC6" s="18" t="s">
        <v>5</v>
      </c>
      <c r="AD6" s="18" t="s">
        <v>6</v>
      </c>
      <c r="AE6" s="18" t="s">
        <v>7</v>
      </c>
      <c r="AF6" s="18" t="s">
        <v>8</v>
      </c>
      <c r="AG6" s="18" t="s">
        <v>2</v>
      </c>
      <c r="AH6" s="18" t="s">
        <v>3</v>
      </c>
      <c r="AI6" s="18" t="s">
        <v>4</v>
      </c>
      <c r="AJ6" s="18" t="s">
        <v>5</v>
      </c>
      <c r="AK6" s="18" t="s">
        <v>6</v>
      </c>
      <c r="AL6" s="18" t="s">
        <v>7</v>
      </c>
      <c r="AM6" s="18" t="s">
        <v>8</v>
      </c>
      <c r="AN6" s="11" t="s">
        <v>2</v>
      </c>
      <c r="AO6" s="12" t="s">
        <v>3</v>
      </c>
      <c r="AP6" s="40"/>
      <c r="AQ6" s="40"/>
      <c r="AR6" s="40"/>
    </row>
    <row r="7" spans="4:44" s="24" customFormat="1" ht="19" customHeight="1" thickBot="1" x14ac:dyDescent="0.45">
      <c r="D7" s="25" t="s">
        <v>9</v>
      </c>
    </row>
    <row r="8" spans="4:44" ht="24.65" customHeight="1" thickBot="1" x14ac:dyDescent="0.45">
      <c r="D8" s="21" t="s">
        <v>10</v>
      </c>
      <c r="E8" s="20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1"/>
      <c r="AP8" s="39">
        <v>2</v>
      </c>
      <c r="AQ8" s="39"/>
      <c r="AR8" s="39"/>
    </row>
    <row r="9" spans="4:44" ht="26.5" customHeight="1" thickBot="1" x14ac:dyDescent="0.45">
      <c r="D9" s="22" t="s">
        <v>11</v>
      </c>
      <c r="E9" s="20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1"/>
      <c r="AP9" s="39">
        <v>32</v>
      </c>
      <c r="AQ9" s="39"/>
      <c r="AR9" s="39"/>
    </row>
    <row r="10" spans="4:44" ht="28.5" customHeight="1" thickBot="1" x14ac:dyDescent="0.45">
      <c r="D10" s="22" t="s">
        <v>12</v>
      </c>
      <c r="E10" s="20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31"/>
      <c r="AP10" s="39">
        <v>61</v>
      </c>
      <c r="AQ10" s="39"/>
      <c r="AR10" s="39"/>
    </row>
    <row r="11" spans="4:44" ht="30.65" customHeight="1" thickBot="1" x14ac:dyDescent="0.45">
      <c r="D11" s="22" t="s">
        <v>13</v>
      </c>
      <c r="E11" s="20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31"/>
      <c r="AP11" s="39">
        <v>7</v>
      </c>
      <c r="AQ11" s="39"/>
      <c r="AR11" s="39"/>
    </row>
    <row r="12" spans="4:44" ht="30.65" customHeight="1" thickBot="1" x14ac:dyDescent="0.45">
      <c r="D12" s="22" t="s">
        <v>14</v>
      </c>
      <c r="E12" s="20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31"/>
      <c r="AP12" s="39">
        <v>7</v>
      </c>
      <c r="AQ12" s="39"/>
      <c r="AR12" s="39"/>
    </row>
    <row r="13" spans="4:44" ht="29.15" customHeight="1" thickBot="1" x14ac:dyDescent="0.45">
      <c r="D13" s="22" t="s">
        <v>15</v>
      </c>
      <c r="E13" s="20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31"/>
      <c r="AP13" s="39">
        <v>10</v>
      </c>
      <c r="AQ13" s="39"/>
      <c r="AR13" s="39"/>
    </row>
    <row r="14" spans="4:44" ht="30.65" customHeight="1" thickBot="1" x14ac:dyDescent="0.45">
      <c r="D14" s="22" t="s">
        <v>16</v>
      </c>
      <c r="E14" s="20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31"/>
      <c r="AP14" s="39">
        <v>2</v>
      </c>
      <c r="AQ14" s="39"/>
      <c r="AR14" s="39"/>
    </row>
    <row r="15" spans="4:44" ht="42.65" customHeight="1" thickBot="1" x14ac:dyDescent="0.45">
      <c r="D15" s="22" t="s">
        <v>17</v>
      </c>
      <c r="E15" s="20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31"/>
      <c r="AP15" s="39">
        <v>4</v>
      </c>
      <c r="AQ15" s="39"/>
      <c r="AR15" s="39"/>
    </row>
    <row r="16" spans="4:44" ht="48.65" customHeight="1" thickBot="1" x14ac:dyDescent="0.45">
      <c r="D16" s="22" t="s">
        <v>18</v>
      </c>
      <c r="E16" s="20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31"/>
      <c r="AP16" s="39">
        <v>2</v>
      </c>
      <c r="AQ16" s="39"/>
      <c r="AR16" s="39"/>
    </row>
    <row r="17" spans="4:44" ht="36.65" customHeight="1" thickBot="1" x14ac:dyDescent="0.45">
      <c r="D17" s="22" t="s">
        <v>19</v>
      </c>
      <c r="E17" s="20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31"/>
      <c r="AP17" s="39">
        <v>6</v>
      </c>
      <c r="AQ17" s="39"/>
      <c r="AR17" s="39"/>
    </row>
    <row r="18" spans="4:44" ht="34.5" customHeight="1" thickBot="1" x14ac:dyDescent="0.45">
      <c r="D18" s="22" t="s">
        <v>20</v>
      </c>
      <c r="E18" s="20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31"/>
      <c r="AP18" s="39">
        <v>13</v>
      </c>
      <c r="AQ18" s="39"/>
      <c r="AR18" s="39"/>
    </row>
    <row r="19" spans="4:44" ht="32.15" customHeight="1" thickBot="1" x14ac:dyDescent="0.45">
      <c r="D19" s="22" t="s">
        <v>21</v>
      </c>
      <c r="E19" s="20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31"/>
      <c r="AP19" s="39">
        <v>1</v>
      </c>
      <c r="AQ19" s="39"/>
      <c r="AR19" s="39"/>
    </row>
    <row r="20" spans="4:44" ht="34.5" customHeight="1" thickBot="1" x14ac:dyDescent="0.45">
      <c r="D20" s="22" t="s">
        <v>22</v>
      </c>
      <c r="E20" s="20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31"/>
      <c r="AP20" s="39">
        <v>6</v>
      </c>
      <c r="AQ20" s="39"/>
      <c r="AR20" s="39"/>
    </row>
    <row r="21" spans="4:44" ht="19.5" customHeight="1" thickBot="1" x14ac:dyDescent="0.45"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</row>
    <row r="22" spans="4:44" ht="34" customHeight="1" thickBot="1" x14ac:dyDescent="0.45">
      <c r="D22" s="21" t="s">
        <v>23</v>
      </c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31"/>
      <c r="AP22" s="39" t="s">
        <v>24</v>
      </c>
      <c r="AQ22" s="39"/>
      <c r="AR22" s="39"/>
    </row>
    <row r="23" spans="4:44" ht="35.15" customHeight="1" thickBot="1" x14ac:dyDescent="0.45">
      <c r="D23" s="22" t="s">
        <v>25</v>
      </c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31"/>
      <c r="AP23" s="39" t="s">
        <v>26</v>
      </c>
      <c r="AQ23" s="39"/>
      <c r="AR23" s="39"/>
    </row>
    <row r="24" spans="4:44" ht="39" customHeight="1" thickBot="1" x14ac:dyDescent="0.45">
      <c r="D24" s="22" t="s">
        <v>27</v>
      </c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31"/>
      <c r="AP24" s="39" t="s">
        <v>28</v>
      </c>
      <c r="AQ24" s="39"/>
      <c r="AR24" s="39"/>
    </row>
    <row r="25" spans="4:44" ht="39" customHeight="1" thickBot="1" x14ac:dyDescent="0.45">
      <c r="D25" s="22" t="s">
        <v>29</v>
      </c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31"/>
      <c r="AP25" s="39">
        <v>34</v>
      </c>
      <c r="AQ25" s="39"/>
      <c r="AR25" s="39"/>
    </row>
    <row r="26" spans="4:44" ht="19" customHeight="1" thickBot="1" x14ac:dyDescent="0.45">
      <c r="D26" s="22" t="s">
        <v>30</v>
      </c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31"/>
      <c r="AP26" s="39">
        <v>13</v>
      </c>
      <c r="AQ26" s="39"/>
      <c r="AR26" s="39"/>
    </row>
    <row r="27" spans="4:44" ht="19" customHeight="1" thickBot="1" x14ac:dyDescent="0.45">
      <c r="D27" s="22" t="s">
        <v>31</v>
      </c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31"/>
      <c r="AP27" s="39">
        <v>16</v>
      </c>
      <c r="AQ27" s="39"/>
      <c r="AR27" s="39"/>
    </row>
    <row r="28" spans="4:44" ht="19" customHeight="1" thickBot="1" x14ac:dyDescent="0.45">
      <c r="D28" s="22" t="s">
        <v>32</v>
      </c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31"/>
      <c r="AP28" s="39">
        <v>15</v>
      </c>
      <c r="AQ28" s="39"/>
      <c r="AR28" s="39"/>
    </row>
    <row r="29" spans="4:44" ht="19" customHeight="1" thickBot="1" x14ac:dyDescent="0.45"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32"/>
      <c r="AP29" s="26"/>
      <c r="AQ29" s="26"/>
      <c r="AR29" s="26"/>
    </row>
    <row r="30" spans="4:44" ht="50.5" customHeight="1" thickBot="1" x14ac:dyDescent="0.45">
      <c r="D30" s="21" t="s">
        <v>33</v>
      </c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31"/>
      <c r="AP30" s="39">
        <v>3</v>
      </c>
      <c r="AQ30" s="39"/>
      <c r="AR30" s="39"/>
    </row>
    <row r="31" spans="4:44" ht="55.5" customHeight="1" thickBot="1" x14ac:dyDescent="0.45">
      <c r="D31" s="22" t="s">
        <v>34</v>
      </c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31"/>
      <c r="AP31" s="39">
        <v>7</v>
      </c>
      <c r="AQ31" s="39"/>
      <c r="AR31" s="39"/>
    </row>
    <row r="32" spans="4:44" ht="57" customHeight="1" thickBot="1" x14ac:dyDescent="0.45">
      <c r="D32" s="22" t="s">
        <v>35</v>
      </c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31"/>
      <c r="AP32" s="39">
        <v>2</v>
      </c>
      <c r="AQ32" s="39"/>
      <c r="AR32" s="39"/>
    </row>
    <row r="33" spans="4:44" ht="47.5" customHeight="1" thickBot="1" x14ac:dyDescent="0.45">
      <c r="D33" s="22" t="s">
        <v>36</v>
      </c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31"/>
      <c r="AP33" s="39">
        <v>4</v>
      </c>
      <c r="AQ33" s="39"/>
      <c r="AR33" s="39"/>
    </row>
    <row r="34" spans="4:44" ht="47.15" customHeight="1" thickBot="1" x14ac:dyDescent="0.45">
      <c r="D34" s="22" t="s">
        <v>37</v>
      </c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31"/>
      <c r="AP34" s="39">
        <v>2</v>
      </c>
      <c r="AQ34" s="39"/>
      <c r="AR34" s="39"/>
    </row>
    <row r="35" spans="4:44" ht="51.65" customHeight="1" thickBot="1" x14ac:dyDescent="0.45">
      <c r="D35" s="22" t="s">
        <v>38</v>
      </c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31"/>
      <c r="AP35" s="39">
        <v>8</v>
      </c>
      <c r="AQ35" s="39"/>
      <c r="AR35" s="39"/>
    </row>
    <row r="36" spans="4:44" ht="19" customHeight="1" thickBot="1" x14ac:dyDescent="0.45"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33"/>
      <c r="AP36" s="34"/>
      <c r="AQ36" s="34"/>
      <c r="AR36" s="34"/>
    </row>
    <row r="37" spans="4:44" ht="19" customHeight="1" thickBot="1" x14ac:dyDescent="0.45">
      <c r="D37" s="21" t="s">
        <v>39</v>
      </c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31"/>
      <c r="AP37" s="39">
        <v>3</v>
      </c>
      <c r="AQ37" s="39"/>
      <c r="AR37" s="39"/>
    </row>
    <row r="38" spans="4:44" ht="30.65" customHeight="1" thickBot="1" x14ac:dyDescent="0.45">
      <c r="D38" s="22" t="s">
        <v>40</v>
      </c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31"/>
      <c r="AP38" s="39">
        <v>3</v>
      </c>
      <c r="AQ38" s="39"/>
      <c r="AR38" s="39"/>
    </row>
    <row r="39" spans="4:44" ht="25.5" customHeight="1" thickBot="1" x14ac:dyDescent="0.45">
      <c r="D39" s="22" t="s">
        <v>41</v>
      </c>
      <c r="E39" s="20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31"/>
      <c r="AP39" s="39">
        <v>2</v>
      </c>
      <c r="AQ39" s="39"/>
      <c r="AR39" s="39"/>
    </row>
    <row r="40" spans="4:44" ht="19" customHeight="1" thickBot="1" x14ac:dyDescent="0.45">
      <c r="D40" s="22" t="s">
        <v>42</v>
      </c>
      <c r="E40" s="20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31"/>
      <c r="AP40" s="39">
        <v>2</v>
      </c>
      <c r="AQ40" s="39"/>
      <c r="AR40" s="39"/>
    </row>
    <row r="41" spans="4:44" ht="19" customHeight="1" thickBot="1" x14ac:dyDescent="0.45"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32"/>
      <c r="AP41" s="26"/>
      <c r="AQ41" s="26"/>
      <c r="AR41" s="26"/>
    </row>
    <row r="42" spans="4:44" ht="38.15" customHeight="1" thickBot="1" x14ac:dyDescent="0.45">
      <c r="D42" s="21" t="s">
        <v>43</v>
      </c>
      <c r="E42" s="20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31"/>
      <c r="AP42" s="39">
        <v>2</v>
      </c>
      <c r="AQ42" s="39"/>
      <c r="AR42" s="39"/>
    </row>
    <row r="43" spans="4:44" ht="42" customHeight="1" thickBot="1" x14ac:dyDescent="0.45">
      <c r="D43" s="22" t="s">
        <v>44</v>
      </c>
      <c r="E43" s="20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31"/>
      <c r="AP43" s="39">
        <v>2</v>
      </c>
      <c r="AQ43" s="39"/>
      <c r="AR43" s="39"/>
    </row>
    <row r="44" spans="4:44" ht="50.15" customHeight="1" thickBot="1" x14ac:dyDescent="0.45">
      <c r="D44" s="22" t="s">
        <v>45</v>
      </c>
      <c r="E44" s="20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31"/>
      <c r="AP44" s="39">
        <v>1</v>
      </c>
      <c r="AQ44" s="39"/>
      <c r="AR44" s="39"/>
    </row>
    <row r="45" spans="4:44" ht="48" customHeight="1" thickBot="1" x14ac:dyDescent="0.45">
      <c r="D45" s="22" t="s">
        <v>46</v>
      </c>
      <c r="E45" s="20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31"/>
      <c r="AP45" s="39">
        <v>2</v>
      </c>
      <c r="AQ45" s="39"/>
      <c r="AR45" s="39"/>
    </row>
    <row r="46" spans="4:44" ht="45" customHeight="1" thickBot="1" x14ac:dyDescent="0.45">
      <c r="D46" s="22" t="s">
        <v>47</v>
      </c>
      <c r="E46" s="20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31"/>
      <c r="AP46" s="39">
        <v>2</v>
      </c>
      <c r="AQ46" s="39"/>
      <c r="AR46" s="39"/>
    </row>
    <row r="47" spans="4:44" ht="40" customHeight="1" thickBot="1" x14ac:dyDescent="0.45">
      <c r="D47" s="22" t="s">
        <v>48</v>
      </c>
      <c r="E47" s="20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31"/>
      <c r="AP47" s="39">
        <v>3</v>
      </c>
      <c r="AQ47" s="39"/>
      <c r="AR47" s="39"/>
    </row>
    <row r="48" spans="4:44" ht="49" customHeight="1" thickBot="1" x14ac:dyDescent="0.45">
      <c r="D48" s="22" t="s">
        <v>49</v>
      </c>
      <c r="E48" s="20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31"/>
      <c r="AP48" s="39">
        <v>2</v>
      </c>
      <c r="AQ48" s="39"/>
      <c r="AR48" s="39"/>
    </row>
    <row r="49" spans="4:44" ht="38.15" customHeight="1" thickBot="1" x14ac:dyDescent="0.45">
      <c r="D49" s="22" t="s">
        <v>50</v>
      </c>
      <c r="E49" s="20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31"/>
      <c r="AP49" s="39">
        <v>1</v>
      </c>
      <c r="AQ49" s="39"/>
      <c r="AR49" s="39"/>
    </row>
    <row r="50" spans="4:44" ht="34.5" customHeight="1" thickBot="1" x14ac:dyDescent="0.45">
      <c r="D50" s="22" t="s">
        <v>51</v>
      </c>
      <c r="E50" s="20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31"/>
      <c r="AP50" s="39">
        <v>1</v>
      </c>
      <c r="AQ50" s="39"/>
      <c r="AR50" s="39"/>
    </row>
    <row r="51" spans="4:44" ht="24" customHeight="1" thickBot="1" x14ac:dyDescent="0.45">
      <c r="D51" s="22" t="s">
        <v>52</v>
      </c>
      <c r="E51" s="20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31"/>
      <c r="AP51" s="39">
        <v>3</v>
      </c>
      <c r="AQ51" s="39"/>
      <c r="AR51" s="39"/>
    </row>
    <row r="52" spans="4:44" ht="19" customHeight="1" thickBot="1" x14ac:dyDescent="0.45">
      <c r="D52" s="22" t="s">
        <v>53</v>
      </c>
      <c r="E52" s="20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31"/>
      <c r="AP52" s="39">
        <v>2</v>
      </c>
      <c r="AQ52" s="39"/>
      <c r="AR52" s="39"/>
    </row>
    <row r="53" spans="4:44" ht="49.5" customHeight="1" thickBot="1" x14ac:dyDescent="0.45">
      <c r="D53" s="22" t="s">
        <v>54</v>
      </c>
      <c r="E53" s="20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31"/>
      <c r="AP53" s="39">
        <v>1</v>
      </c>
      <c r="AQ53" s="39"/>
      <c r="AR53" s="39"/>
    </row>
    <row r="54" spans="4:44" ht="37.5" customHeight="1" thickBot="1" x14ac:dyDescent="0.45">
      <c r="D54" s="22" t="s">
        <v>55</v>
      </c>
      <c r="E54" s="20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31"/>
      <c r="AP54" s="39">
        <v>1</v>
      </c>
      <c r="AQ54" s="39"/>
      <c r="AR54" s="39"/>
    </row>
    <row r="55" spans="4:44" ht="54.65" customHeight="1" thickBot="1" x14ac:dyDescent="0.45">
      <c r="D55" s="22" t="s">
        <v>56</v>
      </c>
      <c r="E55" s="20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31"/>
      <c r="AP55" s="39">
        <v>2</v>
      </c>
      <c r="AQ55" s="39"/>
      <c r="AR55" s="39"/>
    </row>
    <row r="56" spans="4:44" ht="19" customHeight="1" thickBot="1" x14ac:dyDescent="0.45">
      <c r="D56" s="22" t="s">
        <v>57</v>
      </c>
      <c r="E56" s="20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31"/>
      <c r="AP56" s="39">
        <v>2</v>
      </c>
      <c r="AQ56" s="39"/>
      <c r="AR56" s="39"/>
    </row>
    <row r="57" spans="4:44" ht="12" customHeight="1" x14ac:dyDescent="0.4"/>
    <row r="58" spans="4:44" s="7" customFormat="1" ht="19" customHeight="1" x14ac:dyDescent="0.4">
      <c r="D58" s="41">
        <f>DATE(CalendarYear,2,1)</f>
        <v>45689</v>
      </c>
      <c r="E58" s="16" t="str">
        <f>IF(DAY(FebSun1)=1,"",IF(AND(YEAR(FebSun1+1)=CalendarYear,MONTH(FebSun1+1)=2),FebSun1+1,""))</f>
        <v/>
      </c>
      <c r="F58" s="16" t="str">
        <f>IF(DAY(FebSun1)=1,"",IF(AND(YEAR(FebSun1+2)=CalendarYear,MONTH(FebSun1+2)=2),FebSun1+2,""))</f>
        <v/>
      </c>
      <c r="G58" s="16" t="str">
        <f>IF(DAY(FebSun1)=1,"",IF(AND(YEAR(FebSun1+3)=CalendarYear,MONTH(FebSun1+3)=2),FebSun1+3,""))</f>
        <v/>
      </c>
      <c r="H58" s="16" t="str">
        <f>IF(DAY(FebSun1)=1,"",IF(AND(YEAR(FebSun1+4)=CalendarYear,MONTH(FebSun1+4)=2),FebSun1+4,""))</f>
        <v/>
      </c>
      <c r="I58" s="16" t="str">
        <f>IF(DAY(FebSun1)=1,"",IF(AND(YEAR(FebSun1+5)=CalendarYear,MONTH(FebSun1+5)=2),FebSun1+5,""))</f>
        <v/>
      </c>
      <c r="J58" s="16" t="str">
        <f>IF(DAY(FebSun1)=1,"",IF(AND(YEAR(FebSun1+6)=CalendarYear,MONTH(FebSun1+6)=2),FebSun1+6,""))</f>
        <v/>
      </c>
      <c r="K58" s="16">
        <f>IF(DAY(FebSun1)=1,IF(AND(YEAR(FebSun1)=CalendarYear,MONTH(FebSun1)=2),FebSun1,""),IF(AND(YEAR(FebSun1+7)=CalendarYear,MONTH(FebSun1+7)=2),FebSun1+7,""))</f>
        <v>45689</v>
      </c>
      <c r="L58" s="16">
        <f>IF(DAY(FebSun1)=1,IF(AND(YEAR(FebSun1+1)=CalendarYear,MONTH(FebSun1+1)=2),FebSun1+1,""),IF(AND(YEAR(FebSun1+8)=CalendarYear,MONTH(FebSun1+8)=2),FebSun1+8,""))</f>
        <v>45690</v>
      </c>
      <c r="M58" s="16">
        <f>IF(DAY(FebSun1)=1,IF(AND(YEAR(FebSun1+2)=CalendarYear,MONTH(FebSun1+2)=2),FebSun1+2,""),IF(AND(YEAR(FebSun1+9)=CalendarYear,MONTH(FebSun1+9)=2),FebSun1+9,""))</f>
        <v>45691</v>
      </c>
      <c r="N58" s="16">
        <f>IF(DAY(FebSun1)=1,IF(AND(YEAR(FebSun1+3)=CalendarYear,MONTH(FebSun1+3)=2),FebSun1+3,""),IF(AND(YEAR(FebSun1+10)=CalendarYear,MONTH(FebSun1+10)=2),FebSun1+10,""))</f>
        <v>45692</v>
      </c>
      <c r="O58" s="16">
        <f>IF(DAY(FebSun1)=1,IF(AND(YEAR(FebSun1+4)=CalendarYear,MONTH(FebSun1+4)=2),FebSun1+4,""),IF(AND(YEAR(FebSun1+11)=CalendarYear,MONTH(FebSun1+11)=2),FebSun1+11,""))</f>
        <v>45693</v>
      </c>
      <c r="P58" s="16">
        <f>IF(DAY(FebSun1)=1,IF(AND(YEAR(FebSun1+5)=CalendarYear,MONTH(FebSun1+5)=2),FebSun1+5,""),IF(AND(YEAR(FebSun1+12)=CalendarYear,MONTH(FebSun1+12)=2),FebSun1+12,""))</f>
        <v>45694</v>
      </c>
      <c r="Q58" s="16">
        <f>IF(DAY(FebSun1)=1,IF(AND(YEAR(FebSun1+6)=CalendarYear,MONTH(FebSun1+6)=2),FebSun1+6,""),IF(AND(YEAR(FebSun1+13)=CalendarYear,MONTH(FebSun1+13)=2),FebSun1+13,""))</f>
        <v>45695</v>
      </c>
      <c r="R58" s="16">
        <f>IF(DAY(FebSun1)=1,IF(AND(YEAR(FebSun1+7)=CalendarYear,MONTH(FebSun1+7)=2),FebSun1+7,""),IF(AND(YEAR(FebSun1+14)=CalendarYear,MONTH(FebSun1+14)=2),FebSun1+14,""))</f>
        <v>45696</v>
      </c>
      <c r="S58" s="16">
        <f>IF(DAY(FebSun1)=1,IF(AND(YEAR(FebSun1+8)=CalendarYear,MONTH(FebSun1+8)=2),FebSun1+8,""),IF(AND(YEAR(FebSun1+15)=CalendarYear,MONTH(FebSun1+15)=2),FebSun1+15,""))</f>
        <v>45697</v>
      </c>
      <c r="T58" s="16">
        <f>IF(DAY(FebSun1)=1,IF(AND(YEAR(FebSun1+9)=CalendarYear,MONTH(FebSun1+9)=2),FebSun1+9,""),IF(AND(YEAR(FebSun1+16)=CalendarYear,MONTH(FebSun1+16)=2),FebSun1+16,""))</f>
        <v>45698</v>
      </c>
      <c r="U58" s="16">
        <f>IF(DAY(FebSun1)=1,IF(AND(YEAR(FebSun1+10)=CalendarYear,MONTH(FebSun1+10)=2),FebSun1+10,""),IF(AND(YEAR(FebSun1+17)=CalendarYear,MONTH(FebSun1+17)=2),FebSun1+17,""))</f>
        <v>45699</v>
      </c>
      <c r="V58" s="16">
        <f>IF(DAY(FebSun1)=1,IF(AND(YEAR(FebSun1+11)=CalendarYear,MONTH(FebSun1+11)=2),FebSun1+11,""),IF(AND(YEAR(FebSun1+18)=CalendarYear,MONTH(FebSun1+18)=2),FebSun1+18,""))</f>
        <v>45700</v>
      </c>
      <c r="W58" s="16">
        <f>IF(DAY(FebSun1)=1,IF(AND(YEAR(FebSun1+12)=CalendarYear,MONTH(FebSun1+12)=2),FebSun1+12,""),IF(AND(YEAR(FebSun1+19)=CalendarYear,MONTH(FebSun1+19)=2),FebSun1+19,""))</f>
        <v>45701</v>
      </c>
      <c r="X58" s="16">
        <f>IF(DAY(FebSun1)=1,IF(AND(YEAR(FebSun1+13)=CalendarYear,MONTH(FebSun1+13)=2),FebSun1+13,""),IF(AND(YEAR(FebSun1+20)=CalendarYear,MONTH(FebSun1+20)=2),FebSun1+20,""))</f>
        <v>45702</v>
      </c>
      <c r="Y58" s="16">
        <f>IF(DAY(FebSun1)=1,IF(AND(YEAR(FebSun1+14)=CalendarYear,MONTH(FebSun1+14)=2),FebSun1+14,""),IF(AND(YEAR(FebSun1+21)=CalendarYear,MONTH(FebSun1+21)=2),FebSun1+21,""))</f>
        <v>45703</v>
      </c>
      <c r="Z58" s="16">
        <f>IF(DAY(FebSun1)=1,IF(AND(YEAR(FebSun1+15)=CalendarYear,MONTH(FebSun1+15)=2),FebSun1+15,""),IF(AND(YEAR(FebSun1+22)=CalendarYear,MONTH(FebSun1+22)=2),FebSun1+22,""))</f>
        <v>45704</v>
      </c>
      <c r="AA58" s="16">
        <f>IF(DAY(FebSun1)=1,IF(AND(YEAR(FebSun1+16)=CalendarYear,MONTH(FebSun1+16)=2),FebSun1+16,""),IF(AND(YEAR(FebSun1+23)=CalendarYear,MONTH(FebSun1+23)=2),FebSun1+23,""))</f>
        <v>45705</v>
      </c>
      <c r="AB58" s="16">
        <f>IF(DAY(FebSun1)=1,IF(AND(YEAR(FebSun1+17)=CalendarYear,MONTH(FebSun1+17)=2),FebSun1+17,""),IF(AND(YEAR(FebSun1+24)=CalendarYear,MONTH(FebSun1+24)=2),FebSun1+24,""))</f>
        <v>45706</v>
      </c>
      <c r="AC58" s="16">
        <f>IF(DAY(FebSun1)=1,IF(AND(YEAR(FebSun1+18)=CalendarYear,MONTH(FebSun1+18)=2),FebSun1+18,""),IF(AND(YEAR(FebSun1+25)=CalendarYear,MONTH(FebSun1+25)=2),FebSun1+25,""))</f>
        <v>45707</v>
      </c>
      <c r="AD58" s="16">
        <f>IF(DAY(FebSun1)=1,IF(AND(YEAR(FebSun1+19)=CalendarYear,MONTH(FebSun1+19)=2),FebSun1+19,""),IF(AND(YEAR(FebSun1+26)=CalendarYear,MONTH(FebSun1+26)=2),FebSun1+26,""))</f>
        <v>45708</v>
      </c>
      <c r="AE58" s="16">
        <f>IF(DAY(FebSun1)=1,IF(AND(YEAR(FebSun1+20)=CalendarYear,MONTH(FebSun1+20)=2),FebSun1+20,""),IF(AND(YEAR(FebSun1+27)=CalendarYear,MONTH(FebSun1+27)=2),FebSun1+27,""))</f>
        <v>45709</v>
      </c>
      <c r="AF58" s="16">
        <f>IF(DAY(FebSun1)=1,IF(AND(YEAR(FebSun1+21)=CalendarYear,MONTH(FebSun1+21)=2),FebSun1+21,""),IF(AND(YEAR(FebSun1+28)=CalendarYear,MONTH(FebSun1+28)=2),FebSun1+28,""))</f>
        <v>45710</v>
      </c>
      <c r="AG58" s="16">
        <f>IF(DAY(FebSun1)=1,IF(AND(YEAR(FebSun1+22)=CalendarYear,MONTH(FebSun1+22)=2),FebSun1+22,""),IF(AND(YEAR(FebSun1+29)=CalendarYear,MONTH(FebSun1+29)=2),FebSun1+29,""))</f>
        <v>45711</v>
      </c>
      <c r="AH58" s="16">
        <f>IF(DAY(FebSun1)=1,IF(AND(YEAR(FebSun1+23)=CalendarYear,MONTH(FebSun1+23)=2),FebSun1+23,""),IF(AND(YEAR(FebSun1+30)=CalendarYear,MONTH(FebSun1+30)=2),FebSun1+30,""))</f>
        <v>45712</v>
      </c>
      <c r="AI58" s="16">
        <f>IF(DAY(FebSun1)=1,IF(AND(YEAR(FebSun1+24)=CalendarYear,MONTH(FebSun1+24)=2),FebSun1+24,""),IF(AND(YEAR(FebSun1+31)=CalendarYear,MONTH(FebSun1+31)=2),FebSun1+31,""))</f>
        <v>45713</v>
      </c>
      <c r="AJ58" s="16">
        <f>IF(DAY(FebSun1)=1,IF(AND(YEAR(FebSun1+25)=CalendarYear,MONTH(FebSun1+25)=2),FebSun1+25,""),IF(AND(YEAR(FebSun1+32)=CalendarYear,MONTH(FebSun1+32)=2),FebSun1+32,""))</f>
        <v>45714</v>
      </c>
      <c r="AK58" s="16">
        <f>IF(DAY(FebSun1)=1,IF(AND(YEAR(FebSun1+26)=CalendarYear,MONTH(FebSun1+26)=2),FebSun1+26,""),IF(AND(YEAR(FebSun1+33)=CalendarYear,MONTH(FebSun1+33)=2),FebSun1+33,""))</f>
        <v>45715</v>
      </c>
      <c r="AL58" s="16">
        <f>IF(DAY(FebSun1)=1,IF(AND(YEAR(FebSun1+27)=CalendarYear,MONTH(FebSun1+27)=2),FebSun1+27,""),IF(AND(YEAR(FebSun1+34)=CalendarYear,MONTH(FebSun1+34)=2),FebSun1+34,""))</f>
        <v>45716</v>
      </c>
      <c r="AM58" s="16" t="str">
        <f>IF(DAY(FebSun1)=1,IF(AND(YEAR(FebSun1+28)=CalendarYear,MONTH(FebSun1+28)=2),FebSun1+28,""),IF(AND(YEAR(FebSun1+35)=CalendarYear,MONTH(FebSun1+35)=2),FebSun1+35,""))</f>
        <v/>
      </c>
      <c r="AN58" s="16" t="str">
        <f>IF(DAY(FebSun1)=1,IF(AND(YEAR(FebSun1+29)=CalendarYear,MONTH(FebSun1+29)=2),FebSun1+29,""),IF(AND(YEAR(FebSun1+36)=CalendarYear,MONTH(FebSun1+36)=2),FebSun1+36,""))</f>
        <v/>
      </c>
      <c r="AO58" s="17" t="str">
        <f>IF(DAY(FebSun1)=1,IF(AND(YEAR(FebSun1+30)=CalendarYear,MONTH(FebSun1+30)=2),FebSun1+30,""),IF(AND(YEAR(FebSun1+37)=CalendarYear,MONTH(FebSun1+37)=2),FebSun1+37,""))</f>
        <v/>
      </c>
      <c r="AP58" s="29"/>
      <c r="AQ58" s="29"/>
      <c r="AR58" s="29"/>
    </row>
    <row r="59" spans="4:44" s="7" customFormat="1" ht="19" customHeight="1" thickBot="1" x14ac:dyDescent="0.45">
      <c r="D59" s="43"/>
      <c r="E59" s="18" t="s">
        <v>2</v>
      </c>
      <c r="F59" s="18" t="s">
        <v>3</v>
      </c>
      <c r="G59" s="18" t="s">
        <v>4</v>
      </c>
      <c r="H59" s="18" t="s">
        <v>5</v>
      </c>
      <c r="I59" s="18" t="s">
        <v>6</v>
      </c>
      <c r="J59" s="18" t="s">
        <v>7</v>
      </c>
      <c r="K59" s="18" t="s">
        <v>8</v>
      </c>
      <c r="L59" s="18" t="s">
        <v>2</v>
      </c>
      <c r="M59" s="18" t="s">
        <v>3</v>
      </c>
      <c r="N59" s="18" t="s">
        <v>4</v>
      </c>
      <c r="O59" s="18" t="s">
        <v>5</v>
      </c>
      <c r="P59" s="18" t="s">
        <v>6</v>
      </c>
      <c r="Q59" s="18" t="s">
        <v>7</v>
      </c>
      <c r="R59" s="18" t="s">
        <v>8</v>
      </c>
      <c r="S59" s="18" t="s">
        <v>2</v>
      </c>
      <c r="T59" s="18" t="s">
        <v>3</v>
      </c>
      <c r="U59" s="18" t="s">
        <v>4</v>
      </c>
      <c r="V59" s="18" t="s">
        <v>5</v>
      </c>
      <c r="W59" s="18" t="s">
        <v>6</v>
      </c>
      <c r="X59" s="18" t="s">
        <v>7</v>
      </c>
      <c r="Y59" s="18" t="s">
        <v>8</v>
      </c>
      <c r="Z59" s="18" t="s">
        <v>2</v>
      </c>
      <c r="AA59" s="18" t="s">
        <v>3</v>
      </c>
      <c r="AB59" s="18" t="s">
        <v>4</v>
      </c>
      <c r="AC59" s="18" t="s">
        <v>5</v>
      </c>
      <c r="AD59" s="18" t="s">
        <v>6</v>
      </c>
      <c r="AE59" s="18" t="s">
        <v>7</v>
      </c>
      <c r="AF59" s="18" t="s">
        <v>8</v>
      </c>
      <c r="AG59" s="18" t="s">
        <v>2</v>
      </c>
      <c r="AH59" s="18" t="s">
        <v>3</v>
      </c>
      <c r="AI59" s="18" t="s">
        <v>4</v>
      </c>
      <c r="AJ59" s="18" t="s">
        <v>5</v>
      </c>
      <c r="AK59" s="18" t="s">
        <v>6</v>
      </c>
      <c r="AL59" s="18" t="s">
        <v>7</v>
      </c>
      <c r="AM59" s="18" t="s">
        <v>8</v>
      </c>
      <c r="AN59" s="18" t="s">
        <v>2</v>
      </c>
      <c r="AO59" s="19" t="s">
        <v>3</v>
      </c>
      <c r="AP59" s="23"/>
      <c r="AQ59" s="23"/>
      <c r="AR59" s="23"/>
    </row>
    <row r="60" spans="4:44" ht="19" customHeight="1" thickBot="1" x14ac:dyDescent="0.45">
      <c r="D60" s="21" t="s">
        <v>10</v>
      </c>
      <c r="E60" s="20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31"/>
      <c r="AP60" s="39">
        <v>2</v>
      </c>
      <c r="AQ60" s="39"/>
      <c r="AR60" s="39"/>
    </row>
    <row r="61" spans="4:44" ht="19" customHeight="1" thickBot="1" x14ac:dyDescent="0.45">
      <c r="D61" s="22" t="s">
        <v>11</v>
      </c>
      <c r="E61" s="20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31"/>
      <c r="AP61" s="39">
        <v>32</v>
      </c>
      <c r="AQ61" s="39"/>
      <c r="AR61" s="39"/>
    </row>
    <row r="62" spans="4:44" ht="19" customHeight="1" thickBot="1" x14ac:dyDescent="0.45">
      <c r="D62" s="22" t="s">
        <v>12</v>
      </c>
      <c r="E62" s="20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31"/>
      <c r="AP62" s="39">
        <v>61</v>
      </c>
      <c r="AQ62" s="39"/>
      <c r="AR62" s="39"/>
    </row>
    <row r="63" spans="4:44" ht="19" customHeight="1" thickBot="1" x14ac:dyDescent="0.45">
      <c r="D63" s="22" t="s">
        <v>13</v>
      </c>
      <c r="E63" s="20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31"/>
      <c r="AP63" s="39">
        <v>7</v>
      </c>
      <c r="AQ63" s="39"/>
      <c r="AR63" s="39"/>
    </row>
    <row r="64" spans="4:44" ht="19" customHeight="1" thickBot="1" x14ac:dyDescent="0.45">
      <c r="D64" s="22" t="s">
        <v>14</v>
      </c>
      <c r="E64" s="20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31"/>
      <c r="AP64" s="39">
        <v>7</v>
      </c>
      <c r="AQ64" s="39"/>
      <c r="AR64" s="39"/>
    </row>
    <row r="65" spans="4:44" ht="19" customHeight="1" thickBot="1" x14ac:dyDescent="0.45">
      <c r="D65" s="22" t="s">
        <v>15</v>
      </c>
      <c r="E65" s="20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31"/>
      <c r="AP65" s="39">
        <v>10</v>
      </c>
      <c r="AQ65" s="39"/>
      <c r="AR65" s="39"/>
    </row>
    <row r="66" spans="4:44" ht="19" customHeight="1" thickBot="1" x14ac:dyDescent="0.45">
      <c r="D66" s="22" t="s">
        <v>16</v>
      </c>
      <c r="E66" s="20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31"/>
      <c r="AP66" s="39">
        <v>2</v>
      </c>
      <c r="AQ66" s="39"/>
      <c r="AR66" s="39"/>
    </row>
    <row r="67" spans="4:44" ht="19" customHeight="1" thickBot="1" x14ac:dyDescent="0.45">
      <c r="D67" s="22" t="s">
        <v>17</v>
      </c>
      <c r="E67" s="20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31"/>
      <c r="AP67" s="39">
        <v>4</v>
      </c>
      <c r="AQ67" s="39"/>
      <c r="AR67" s="39"/>
    </row>
    <row r="68" spans="4:44" ht="19" customHeight="1" thickBot="1" x14ac:dyDescent="0.45">
      <c r="D68" s="22" t="s">
        <v>18</v>
      </c>
      <c r="E68" s="20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31"/>
      <c r="AP68" s="39">
        <v>2</v>
      </c>
      <c r="AQ68" s="39"/>
      <c r="AR68" s="39"/>
    </row>
    <row r="69" spans="4:44" ht="19" customHeight="1" thickBot="1" x14ac:dyDescent="0.45">
      <c r="D69" s="22" t="s">
        <v>19</v>
      </c>
      <c r="E69" s="20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31"/>
      <c r="AP69" s="39">
        <v>6</v>
      </c>
      <c r="AQ69" s="39"/>
      <c r="AR69" s="39"/>
    </row>
    <row r="70" spans="4:44" ht="19" customHeight="1" thickBot="1" x14ac:dyDescent="0.45">
      <c r="D70" s="22" t="s">
        <v>20</v>
      </c>
      <c r="E70" s="20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31"/>
      <c r="AP70" s="39">
        <v>13</v>
      </c>
      <c r="AQ70" s="39"/>
      <c r="AR70" s="39"/>
    </row>
    <row r="71" spans="4:44" ht="19" customHeight="1" thickBot="1" x14ac:dyDescent="0.45">
      <c r="D71" s="22" t="s">
        <v>21</v>
      </c>
      <c r="E71" s="20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31"/>
      <c r="AP71" s="39">
        <v>1</v>
      </c>
      <c r="AQ71" s="39"/>
      <c r="AR71" s="39"/>
    </row>
    <row r="72" spans="4:44" ht="19" customHeight="1" thickBot="1" x14ac:dyDescent="0.45">
      <c r="D72" s="22" t="s">
        <v>22</v>
      </c>
      <c r="E72" s="20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31"/>
      <c r="AP72" s="39">
        <v>6</v>
      </c>
      <c r="AQ72" s="39"/>
      <c r="AR72" s="39"/>
    </row>
    <row r="73" spans="4:44" ht="19" customHeight="1" thickBot="1" x14ac:dyDescent="0.45"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</row>
    <row r="74" spans="4:44" ht="19" customHeight="1" thickBot="1" x14ac:dyDescent="0.45">
      <c r="D74" s="21" t="s">
        <v>23</v>
      </c>
      <c r="E74" s="20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31"/>
      <c r="AP74" s="39" t="s">
        <v>24</v>
      </c>
      <c r="AQ74" s="39"/>
      <c r="AR74" s="39"/>
    </row>
    <row r="75" spans="4:44" ht="19" customHeight="1" thickBot="1" x14ac:dyDescent="0.45">
      <c r="D75" s="22" t="s">
        <v>25</v>
      </c>
      <c r="E75" s="20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31"/>
      <c r="AP75" s="39" t="s">
        <v>26</v>
      </c>
      <c r="AQ75" s="39"/>
      <c r="AR75" s="39"/>
    </row>
    <row r="76" spans="4:44" ht="19" customHeight="1" thickBot="1" x14ac:dyDescent="0.45">
      <c r="D76" s="22" t="s">
        <v>27</v>
      </c>
      <c r="E76" s="20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31"/>
      <c r="AP76" s="39" t="s">
        <v>28</v>
      </c>
      <c r="AQ76" s="39"/>
      <c r="AR76" s="39"/>
    </row>
    <row r="77" spans="4:44" ht="19" customHeight="1" thickBot="1" x14ac:dyDescent="0.45">
      <c r="D77" s="22" t="s">
        <v>29</v>
      </c>
      <c r="E77" s="20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31"/>
      <c r="AP77" s="39">
        <v>34</v>
      </c>
      <c r="AQ77" s="39"/>
      <c r="AR77" s="39"/>
    </row>
    <row r="78" spans="4:44" ht="19" customHeight="1" thickBot="1" x14ac:dyDescent="0.45">
      <c r="D78" s="22" t="s">
        <v>30</v>
      </c>
      <c r="E78" s="20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31"/>
      <c r="AP78" s="39">
        <v>13</v>
      </c>
      <c r="AQ78" s="39"/>
      <c r="AR78" s="39"/>
    </row>
    <row r="79" spans="4:44" ht="19" customHeight="1" thickBot="1" x14ac:dyDescent="0.45">
      <c r="D79" s="22" t="s">
        <v>31</v>
      </c>
      <c r="E79" s="20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31"/>
      <c r="AP79" s="39">
        <v>16</v>
      </c>
      <c r="AQ79" s="39"/>
      <c r="AR79" s="39"/>
    </row>
    <row r="80" spans="4:44" ht="19" customHeight="1" thickBot="1" x14ac:dyDescent="0.45">
      <c r="D80" s="22" t="s">
        <v>32</v>
      </c>
      <c r="E80" s="20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31"/>
      <c r="AP80" s="39">
        <v>15</v>
      </c>
      <c r="AQ80" s="39"/>
      <c r="AR80" s="39"/>
    </row>
    <row r="81" spans="4:44" ht="19" customHeight="1" thickBot="1" x14ac:dyDescent="0.45"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32"/>
      <c r="AP81" s="26"/>
      <c r="AQ81" s="26"/>
      <c r="AR81" s="26"/>
    </row>
    <row r="82" spans="4:44" ht="19" customHeight="1" thickBot="1" x14ac:dyDescent="0.45">
      <c r="D82" s="21" t="s">
        <v>33</v>
      </c>
      <c r="E82" s="20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31"/>
      <c r="AP82" s="39">
        <v>3</v>
      </c>
      <c r="AQ82" s="39"/>
      <c r="AR82" s="39"/>
    </row>
    <row r="83" spans="4:44" ht="19" customHeight="1" thickBot="1" x14ac:dyDescent="0.45">
      <c r="D83" s="22" t="s">
        <v>34</v>
      </c>
      <c r="E83" s="20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31"/>
      <c r="AP83" s="39">
        <v>7</v>
      </c>
      <c r="AQ83" s="39"/>
      <c r="AR83" s="39"/>
    </row>
    <row r="84" spans="4:44" ht="19" customHeight="1" thickBot="1" x14ac:dyDescent="0.45">
      <c r="D84" s="22" t="s">
        <v>35</v>
      </c>
      <c r="E84" s="20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31"/>
      <c r="AP84" s="39">
        <v>2</v>
      </c>
      <c r="AQ84" s="39"/>
      <c r="AR84" s="39"/>
    </row>
    <row r="85" spans="4:44" ht="19" customHeight="1" thickBot="1" x14ac:dyDescent="0.45">
      <c r="D85" s="22" t="s">
        <v>36</v>
      </c>
      <c r="E85" s="20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31"/>
      <c r="AP85" s="39">
        <v>4</v>
      </c>
      <c r="AQ85" s="39"/>
      <c r="AR85" s="39"/>
    </row>
    <row r="86" spans="4:44" ht="19" customHeight="1" thickBot="1" x14ac:dyDescent="0.45">
      <c r="D86" s="22" t="s">
        <v>37</v>
      </c>
      <c r="E86" s="20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31"/>
      <c r="AP86" s="39">
        <v>2</v>
      </c>
      <c r="AQ86" s="39"/>
      <c r="AR86" s="39"/>
    </row>
    <row r="87" spans="4:44" ht="19" customHeight="1" thickBot="1" x14ac:dyDescent="0.45">
      <c r="D87" s="22" t="s">
        <v>38</v>
      </c>
      <c r="E87" s="20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31"/>
      <c r="AP87" s="39">
        <v>8</v>
      </c>
      <c r="AQ87" s="39"/>
      <c r="AR87" s="39"/>
    </row>
    <row r="88" spans="4:44" ht="19" customHeight="1" thickBot="1" x14ac:dyDescent="0.45"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33"/>
      <c r="AP88" s="34"/>
      <c r="AQ88" s="34"/>
      <c r="AR88" s="34"/>
    </row>
    <row r="89" spans="4:44" ht="19" customHeight="1" thickBot="1" x14ac:dyDescent="0.45">
      <c r="D89" s="21" t="s">
        <v>39</v>
      </c>
      <c r="E89" s="20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31"/>
      <c r="AP89" s="39">
        <v>3</v>
      </c>
      <c r="AQ89" s="39"/>
      <c r="AR89" s="39"/>
    </row>
    <row r="90" spans="4:44" ht="19" customHeight="1" thickBot="1" x14ac:dyDescent="0.45">
      <c r="D90" s="22" t="s">
        <v>40</v>
      </c>
      <c r="E90" s="20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31"/>
      <c r="AP90" s="39">
        <v>3</v>
      </c>
      <c r="AQ90" s="39"/>
      <c r="AR90" s="39"/>
    </row>
    <row r="91" spans="4:44" ht="19" customHeight="1" thickBot="1" x14ac:dyDescent="0.45">
      <c r="D91" s="22" t="s">
        <v>41</v>
      </c>
      <c r="E91" s="20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31"/>
      <c r="AP91" s="39">
        <v>2</v>
      </c>
      <c r="AQ91" s="39"/>
      <c r="AR91" s="39"/>
    </row>
    <row r="92" spans="4:44" ht="19" customHeight="1" thickBot="1" x14ac:dyDescent="0.45">
      <c r="D92" s="22" t="s">
        <v>42</v>
      </c>
      <c r="E92" s="20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31"/>
      <c r="AP92" s="39">
        <v>2</v>
      </c>
      <c r="AQ92" s="39"/>
      <c r="AR92" s="39"/>
    </row>
    <row r="93" spans="4:44" ht="19" customHeight="1" thickBot="1" x14ac:dyDescent="0.45"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32"/>
      <c r="AP93" s="26"/>
      <c r="AQ93" s="26"/>
      <c r="AR93" s="26"/>
    </row>
    <row r="94" spans="4:44" ht="19" customHeight="1" thickBot="1" x14ac:dyDescent="0.45">
      <c r="D94" s="21" t="s">
        <v>43</v>
      </c>
      <c r="E94" s="20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31"/>
      <c r="AP94" s="39">
        <v>2</v>
      </c>
      <c r="AQ94" s="39"/>
      <c r="AR94" s="39"/>
    </row>
    <row r="95" spans="4:44" ht="19" customHeight="1" thickBot="1" x14ac:dyDescent="0.45">
      <c r="D95" s="22" t="s">
        <v>44</v>
      </c>
      <c r="E95" s="20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31"/>
      <c r="AP95" s="39">
        <v>2</v>
      </c>
      <c r="AQ95" s="39"/>
      <c r="AR95" s="39"/>
    </row>
    <row r="96" spans="4:44" ht="19" customHeight="1" thickBot="1" x14ac:dyDescent="0.45">
      <c r="D96" s="22" t="s">
        <v>45</v>
      </c>
      <c r="E96" s="20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31"/>
      <c r="AP96" s="39">
        <v>1</v>
      </c>
      <c r="AQ96" s="39"/>
      <c r="AR96" s="39"/>
    </row>
    <row r="97" spans="4:44" ht="19" customHeight="1" thickBot="1" x14ac:dyDescent="0.45">
      <c r="D97" s="22" t="s">
        <v>46</v>
      </c>
      <c r="E97" s="20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31"/>
      <c r="AP97" s="39">
        <v>2</v>
      </c>
      <c r="AQ97" s="39"/>
      <c r="AR97" s="39"/>
    </row>
    <row r="98" spans="4:44" ht="19" customHeight="1" thickBot="1" x14ac:dyDescent="0.45">
      <c r="D98" s="22" t="s">
        <v>47</v>
      </c>
      <c r="E98" s="20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31"/>
      <c r="AP98" s="39">
        <v>2</v>
      </c>
      <c r="AQ98" s="39"/>
      <c r="AR98" s="39"/>
    </row>
    <row r="99" spans="4:44" ht="19" customHeight="1" thickBot="1" x14ac:dyDescent="0.45">
      <c r="D99" s="22" t="s">
        <v>48</v>
      </c>
      <c r="E99" s="20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31"/>
      <c r="AP99" s="39">
        <v>3</v>
      </c>
      <c r="AQ99" s="39"/>
      <c r="AR99" s="39"/>
    </row>
    <row r="100" spans="4:44" ht="19" customHeight="1" thickBot="1" x14ac:dyDescent="0.45">
      <c r="D100" s="22" t="s">
        <v>49</v>
      </c>
      <c r="E100" s="20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31"/>
      <c r="AP100" s="39">
        <v>2</v>
      </c>
      <c r="AQ100" s="39"/>
      <c r="AR100" s="39"/>
    </row>
    <row r="101" spans="4:44" ht="19" customHeight="1" thickBot="1" x14ac:dyDescent="0.45">
      <c r="D101" s="22" t="s">
        <v>50</v>
      </c>
      <c r="E101" s="20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31"/>
      <c r="AP101" s="39">
        <v>1</v>
      </c>
      <c r="AQ101" s="39"/>
      <c r="AR101" s="39"/>
    </row>
    <row r="102" spans="4:44" ht="19" customHeight="1" thickBot="1" x14ac:dyDescent="0.45">
      <c r="D102" s="22" t="s">
        <v>51</v>
      </c>
      <c r="E102" s="20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31"/>
      <c r="AP102" s="39">
        <v>1</v>
      </c>
      <c r="AQ102" s="39"/>
      <c r="AR102" s="39"/>
    </row>
    <row r="103" spans="4:44" ht="19" customHeight="1" thickBot="1" x14ac:dyDescent="0.45">
      <c r="D103" s="22" t="s">
        <v>52</v>
      </c>
      <c r="E103" s="20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31"/>
      <c r="AP103" s="39">
        <v>3</v>
      </c>
      <c r="AQ103" s="39"/>
      <c r="AR103" s="39"/>
    </row>
    <row r="104" spans="4:44" ht="19" customHeight="1" thickBot="1" x14ac:dyDescent="0.45">
      <c r="D104" s="22" t="s">
        <v>53</v>
      </c>
      <c r="E104" s="20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31"/>
      <c r="AP104" s="39">
        <v>2</v>
      </c>
      <c r="AQ104" s="39"/>
      <c r="AR104" s="39"/>
    </row>
    <row r="105" spans="4:44" ht="19" customHeight="1" thickBot="1" x14ac:dyDescent="0.45">
      <c r="D105" s="22" t="s">
        <v>54</v>
      </c>
      <c r="E105" s="20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31"/>
      <c r="AP105" s="39">
        <v>1</v>
      </c>
      <c r="AQ105" s="39"/>
      <c r="AR105" s="39"/>
    </row>
    <row r="106" spans="4:44" ht="19" customHeight="1" thickBot="1" x14ac:dyDescent="0.45">
      <c r="D106" s="22" t="s">
        <v>55</v>
      </c>
      <c r="E106" s="20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31"/>
      <c r="AP106" s="39">
        <v>1</v>
      </c>
      <c r="AQ106" s="39"/>
      <c r="AR106" s="39"/>
    </row>
    <row r="107" spans="4:44" ht="19" customHeight="1" thickBot="1" x14ac:dyDescent="0.45">
      <c r="D107" s="22" t="s">
        <v>56</v>
      </c>
      <c r="E107" s="20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31"/>
      <c r="AP107" s="39">
        <v>2</v>
      </c>
      <c r="AQ107" s="39"/>
      <c r="AR107" s="39"/>
    </row>
    <row r="108" spans="4:44" ht="19" customHeight="1" thickBot="1" x14ac:dyDescent="0.45">
      <c r="D108" s="22" t="s">
        <v>57</v>
      </c>
      <c r="E108" s="20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31"/>
      <c r="AP108" s="39">
        <v>2</v>
      </c>
      <c r="AQ108" s="39"/>
      <c r="AR108" s="39"/>
    </row>
    <row r="109" spans="4:44" ht="19" customHeight="1" x14ac:dyDescent="0.4">
      <c r="D109" s="8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30"/>
      <c r="AQ109" s="30"/>
      <c r="AR109" s="30"/>
    </row>
    <row r="110" spans="4:44" ht="19" customHeight="1" x14ac:dyDescent="0.4">
      <c r="D110" s="9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30"/>
      <c r="AQ110" s="30"/>
      <c r="AR110" s="30"/>
    </row>
    <row r="111" spans="4:44" ht="19" customHeight="1" x14ac:dyDescent="0.4">
      <c r="D111" s="9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30"/>
      <c r="AQ111" s="30"/>
      <c r="AR111" s="30"/>
    </row>
    <row r="112" spans="4:44" ht="12" customHeight="1" x14ac:dyDescent="0.4"/>
    <row r="113" spans="4:44" s="10" customFormat="1" ht="19" customHeight="1" x14ac:dyDescent="0.4">
      <c r="D113" s="41">
        <f>DATE(CalendarYear,3,1)</f>
        <v>45717</v>
      </c>
      <c r="E113" s="16" t="str">
        <f>IF(DAY(MarSun1)=1,"",IF(AND(YEAR(MarSun1+1)=CalendarYear,MONTH(MarSun1+1)=3),MarSun1+1,""))</f>
        <v/>
      </c>
      <c r="F113" s="16" t="str">
        <f>IF(DAY(MarSun1)=1,"",IF(AND(YEAR(MarSun1+2)=CalendarYear,MONTH(MarSun1+2)=3),MarSun1+2,""))</f>
        <v/>
      </c>
      <c r="G113" s="16" t="str">
        <f>IF(DAY(MarSun1)=1,"",IF(AND(YEAR(MarSun1+3)=CalendarYear,MONTH(MarSun1+3)=3),MarSun1+3,""))</f>
        <v/>
      </c>
      <c r="H113" s="16" t="str">
        <f>IF(DAY(MarSun1)=1,"",IF(AND(YEAR(MarSun1+4)=CalendarYear,MONTH(MarSun1+4)=3),MarSun1+4,""))</f>
        <v/>
      </c>
      <c r="I113" s="16" t="str">
        <f>IF(DAY(MarSun1)=1,"",IF(AND(YEAR(MarSun1+5)=CalendarYear,MONTH(MarSun1+5)=3),MarSun1+5,""))</f>
        <v/>
      </c>
      <c r="J113" s="16" t="str">
        <f>IF(DAY(MarSun1)=1,"",IF(AND(YEAR(MarSun1+6)=CalendarYear,MONTH(MarSun1+6)=3),MarSun1+6,""))</f>
        <v/>
      </c>
      <c r="K113" s="16">
        <f>IF(DAY(MarSun1)=1,IF(AND(YEAR(MarSun1)=CalendarYear,MONTH(MarSun1)=3),MarSun1,""),IF(AND(YEAR(MarSun1+7)=CalendarYear,MONTH(MarSun1+7)=3),MarSun1+7,""))</f>
        <v>45717</v>
      </c>
      <c r="L113" s="16">
        <f>IF(DAY(MarSun1)=1,IF(AND(YEAR(MarSun1+1)=CalendarYear,MONTH(MarSun1+1)=3),MarSun1+1,""),IF(AND(YEAR(MarSun1+8)=CalendarYear,MONTH(MarSun1+8)=3),MarSun1+8,""))</f>
        <v>45718</v>
      </c>
      <c r="M113" s="16">
        <f>IF(DAY(MarSun1)=1,IF(AND(YEAR(MarSun1+2)=CalendarYear,MONTH(MarSun1+2)=3),MarSun1+2,""),IF(AND(YEAR(MarSun1+9)=CalendarYear,MONTH(MarSun1+9)=3),MarSun1+9,""))</f>
        <v>45719</v>
      </c>
      <c r="N113" s="16">
        <f>IF(DAY(MarSun1)=1,IF(AND(YEAR(MarSun1+3)=CalendarYear,MONTH(MarSun1+3)=3),MarSun1+3,""),IF(AND(YEAR(MarSun1+10)=CalendarYear,MONTH(MarSun1+10)=3),MarSun1+10,""))</f>
        <v>45720</v>
      </c>
      <c r="O113" s="16">
        <f>IF(DAY(MarSun1)=1,IF(AND(YEAR(MarSun1+4)=CalendarYear,MONTH(MarSun1+4)=3),MarSun1+4,""),IF(AND(YEAR(MarSun1+11)=CalendarYear,MONTH(MarSun1+11)=3),MarSun1+11,""))</f>
        <v>45721</v>
      </c>
      <c r="P113" s="16">
        <f>IF(DAY(MarSun1)=1,IF(AND(YEAR(MarSun1+5)=CalendarYear,MONTH(MarSun1+5)=3),MarSun1+5,""),IF(AND(YEAR(MarSun1+12)=CalendarYear,MONTH(MarSun1+12)=3),MarSun1+12,""))</f>
        <v>45722</v>
      </c>
      <c r="Q113" s="16">
        <f>IF(DAY(MarSun1)=1,IF(AND(YEAR(MarSun1+6)=CalendarYear,MONTH(MarSun1+6)=3),MarSun1+6,""),IF(AND(YEAR(MarSun1+13)=CalendarYear,MONTH(MarSun1+13)=3),MarSun1+13,""))</f>
        <v>45723</v>
      </c>
      <c r="R113" s="16">
        <f>IF(DAY(MarSun1)=1,IF(AND(YEAR(MarSun1+7)=CalendarYear,MONTH(MarSun1+7)=3),MarSun1+7,""),IF(AND(YEAR(MarSun1+14)=CalendarYear,MONTH(MarSun1+14)=3),MarSun1+14,""))</f>
        <v>45724</v>
      </c>
      <c r="S113" s="16">
        <f>IF(DAY(MarSun1)=1,IF(AND(YEAR(MarSun1+8)=CalendarYear,MONTH(MarSun1+8)=3),MarSun1+8,""),IF(AND(YEAR(MarSun1+15)=CalendarYear,MONTH(MarSun1+15)=3),MarSun1+15,""))</f>
        <v>45725</v>
      </c>
      <c r="T113" s="16">
        <f>IF(DAY(MarSun1)=1,IF(AND(YEAR(MarSun1+9)=CalendarYear,MONTH(MarSun1+9)=3),MarSun1+9,""),IF(AND(YEAR(MarSun1+16)=CalendarYear,MONTH(MarSun1+16)=3),MarSun1+16,""))</f>
        <v>45726</v>
      </c>
      <c r="U113" s="16">
        <f>IF(DAY(MarSun1)=1,IF(AND(YEAR(MarSun1+10)=CalendarYear,MONTH(MarSun1+10)=3),MarSun1+10,""),IF(AND(YEAR(MarSun1+17)=CalendarYear,MONTH(MarSun1+17)=3),MarSun1+17,""))</f>
        <v>45727</v>
      </c>
      <c r="V113" s="16">
        <f>IF(DAY(MarSun1)=1,IF(AND(YEAR(MarSun1+11)=CalendarYear,MONTH(MarSun1+11)=3),MarSun1+11,""),IF(AND(YEAR(MarSun1+18)=CalendarYear,MONTH(MarSun1+18)=3),MarSun1+18,""))</f>
        <v>45728</v>
      </c>
      <c r="W113" s="16">
        <f>IF(DAY(MarSun1)=1,IF(AND(YEAR(MarSun1+12)=CalendarYear,MONTH(MarSun1+12)=3),MarSun1+12,""),IF(AND(YEAR(MarSun1+19)=CalendarYear,MONTH(MarSun1+19)=3),MarSun1+19,""))</f>
        <v>45729</v>
      </c>
      <c r="X113" s="16">
        <f>IF(DAY(MarSun1)=1,IF(AND(YEAR(MarSun1+13)=CalendarYear,MONTH(MarSun1+13)=3),MarSun1+13,""),IF(AND(YEAR(MarSun1+20)=CalendarYear,MONTH(MarSun1+20)=3),MarSun1+20,""))</f>
        <v>45730</v>
      </c>
      <c r="Y113" s="16">
        <f>IF(DAY(MarSun1)=1,IF(AND(YEAR(MarSun1+14)=CalendarYear,MONTH(MarSun1+14)=3),MarSun1+14,""),IF(AND(YEAR(MarSun1+21)=CalendarYear,MONTH(MarSun1+21)=3),MarSun1+21,""))</f>
        <v>45731</v>
      </c>
      <c r="Z113" s="16">
        <f>IF(DAY(MarSun1)=1,IF(AND(YEAR(MarSun1+15)=CalendarYear,MONTH(MarSun1+15)=3),MarSun1+15,""),IF(AND(YEAR(MarSun1+22)=CalendarYear,MONTH(MarSun1+22)=3),MarSun1+22,""))</f>
        <v>45732</v>
      </c>
      <c r="AA113" s="16">
        <f>IF(DAY(MarSun1)=1,IF(AND(YEAR(MarSun1+16)=CalendarYear,MONTH(MarSun1+16)=3),MarSun1+16,""),IF(AND(YEAR(MarSun1+23)=CalendarYear,MONTH(MarSun1+23)=3),MarSun1+23,""))</f>
        <v>45733</v>
      </c>
      <c r="AB113" s="16">
        <f>IF(DAY(MarSun1)=1,IF(AND(YEAR(MarSun1+17)=CalendarYear,MONTH(MarSun1+17)=3),MarSun1+17,""),IF(AND(YEAR(MarSun1+24)=CalendarYear,MONTH(MarSun1+24)=3),MarSun1+24,""))</f>
        <v>45734</v>
      </c>
      <c r="AC113" s="16">
        <f>IF(DAY(MarSun1)=1,IF(AND(YEAR(MarSun1+18)=CalendarYear,MONTH(MarSun1+18)=3),MarSun1+18,""),IF(AND(YEAR(MarSun1+25)=CalendarYear,MONTH(MarSun1+25)=3),MarSun1+25,""))</f>
        <v>45735</v>
      </c>
      <c r="AD113" s="16">
        <f>IF(DAY(MarSun1)=1,IF(AND(YEAR(MarSun1+19)=CalendarYear,MONTH(MarSun1+19)=3),MarSun1+19,""),IF(AND(YEAR(MarSun1+26)=CalendarYear,MONTH(MarSun1+26)=3),MarSun1+26,""))</f>
        <v>45736</v>
      </c>
      <c r="AE113" s="16">
        <f>IF(DAY(MarSun1)=1,IF(AND(YEAR(MarSun1+20)=CalendarYear,MONTH(MarSun1+20)=3),MarSun1+20,""),IF(AND(YEAR(MarSun1+27)=CalendarYear,MONTH(MarSun1+27)=3),MarSun1+27,""))</f>
        <v>45737</v>
      </c>
      <c r="AF113" s="16">
        <f>IF(DAY(MarSun1)=1,IF(AND(YEAR(MarSun1+21)=CalendarYear,MONTH(MarSun1+21)=3),MarSun1+21,""),IF(AND(YEAR(MarSun1+28)=CalendarYear,MONTH(MarSun1+28)=3),MarSun1+28,""))</f>
        <v>45738</v>
      </c>
      <c r="AG113" s="16">
        <f>IF(DAY(MarSun1)=1,IF(AND(YEAR(MarSun1+22)=CalendarYear,MONTH(MarSun1+22)=3),MarSun1+22,""),IF(AND(YEAR(MarSun1+29)=CalendarYear,MONTH(MarSun1+29)=3),MarSun1+29,""))</f>
        <v>45739</v>
      </c>
      <c r="AH113" s="16">
        <f>IF(DAY(MarSun1)=1,IF(AND(YEAR(MarSun1+23)=CalendarYear,MONTH(MarSun1+23)=3),MarSun1+23,""),IF(AND(YEAR(MarSun1+30)=CalendarYear,MONTH(MarSun1+30)=3),MarSun1+30,""))</f>
        <v>45740</v>
      </c>
      <c r="AI113" s="16">
        <f>IF(DAY(MarSun1)=1,IF(AND(YEAR(MarSun1+24)=CalendarYear,MONTH(MarSun1+24)=3),MarSun1+24,""),IF(AND(YEAR(MarSun1+31)=CalendarYear,MONTH(MarSun1+31)=3),MarSun1+31,""))</f>
        <v>45741</v>
      </c>
      <c r="AJ113" s="16">
        <f>IF(DAY(MarSun1)=1,IF(AND(YEAR(MarSun1+25)=CalendarYear,MONTH(MarSun1+25)=3),MarSun1+25,""),IF(AND(YEAR(MarSun1+32)=CalendarYear,MONTH(MarSun1+32)=3),MarSun1+32,""))</f>
        <v>45742</v>
      </c>
      <c r="AK113" s="16">
        <f>IF(DAY(MarSun1)=1,IF(AND(YEAR(MarSun1+26)=CalendarYear,MONTH(MarSun1+26)=3),MarSun1+26,""),IF(AND(YEAR(MarSun1+33)=CalendarYear,MONTH(MarSun1+33)=3),MarSun1+33,""))</f>
        <v>45743</v>
      </c>
      <c r="AL113" s="16">
        <f>IF(DAY(MarSun1)=1,IF(AND(YEAR(MarSun1+27)=CalendarYear,MONTH(MarSun1+27)=3),MarSun1+27,""),IF(AND(YEAR(MarSun1+34)=CalendarYear,MONTH(MarSun1+34)=3),MarSun1+34,""))</f>
        <v>45744</v>
      </c>
      <c r="AM113" s="16">
        <f>IF(DAY(MarSun1)=1,IF(AND(YEAR(MarSun1+28)=CalendarYear,MONTH(MarSun1+28)=3),MarSun1+28,""),IF(AND(YEAR(MarSun1+35)=CalendarYear,MONTH(MarSun1+35)=3),MarSun1+35,""))</f>
        <v>45745</v>
      </c>
      <c r="AN113" s="16">
        <f>IF(DAY(MarSun1)=1,IF(AND(YEAR(MarSun1+29)=CalendarYear,MONTH(MarSun1+29)=3),MarSun1+29,""),IF(AND(YEAR(MarSun1+36)=CalendarYear,MONTH(MarSun1+36)=3),MarSun1+36,""))</f>
        <v>45746</v>
      </c>
      <c r="AO113" s="17">
        <f>IF(DAY(MarSun1)=1,IF(AND(YEAR(MarSun1+30)=CalendarYear,MONTH(MarSun1+30)=3),MarSun1+30,""),IF(AND(YEAR(MarSun1+37)=CalendarYear,MONTH(MarSun1+37)=3),MarSun1+37,""))</f>
        <v>45747</v>
      </c>
      <c r="AP113" s="29"/>
      <c r="AQ113" s="29"/>
      <c r="AR113" s="29"/>
    </row>
    <row r="114" spans="4:44" s="10" customFormat="1" ht="19" customHeight="1" thickBot="1" x14ac:dyDescent="0.45">
      <c r="D114" s="43"/>
      <c r="E114" s="18" t="s">
        <v>2</v>
      </c>
      <c r="F114" s="18" t="s">
        <v>3</v>
      </c>
      <c r="G114" s="18" t="s">
        <v>4</v>
      </c>
      <c r="H114" s="18" t="s">
        <v>5</v>
      </c>
      <c r="I114" s="18" t="s">
        <v>6</v>
      </c>
      <c r="J114" s="18" t="s">
        <v>7</v>
      </c>
      <c r="K114" s="18" t="s">
        <v>8</v>
      </c>
      <c r="L114" s="18" t="s">
        <v>2</v>
      </c>
      <c r="M114" s="18" t="s">
        <v>3</v>
      </c>
      <c r="N114" s="18" t="s">
        <v>4</v>
      </c>
      <c r="O114" s="18" t="s">
        <v>5</v>
      </c>
      <c r="P114" s="18" t="s">
        <v>6</v>
      </c>
      <c r="Q114" s="18" t="s">
        <v>7</v>
      </c>
      <c r="R114" s="18" t="s">
        <v>8</v>
      </c>
      <c r="S114" s="18" t="s">
        <v>2</v>
      </c>
      <c r="T114" s="18" t="s">
        <v>3</v>
      </c>
      <c r="U114" s="18" t="s">
        <v>4</v>
      </c>
      <c r="V114" s="18" t="s">
        <v>5</v>
      </c>
      <c r="W114" s="18" t="s">
        <v>6</v>
      </c>
      <c r="X114" s="18" t="s">
        <v>7</v>
      </c>
      <c r="Y114" s="18" t="s">
        <v>8</v>
      </c>
      <c r="Z114" s="18" t="s">
        <v>2</v>
      </c>
      <c r="AA114" s="18" t="s">
        <v>3</v>
      </c>
      <c r="AB114" s="18" t="s">
        <v>4</v>
      </c>
      <c r="AC114" s="18" t="s">
        <v>5</v>
      </c>
      <c r="AD114" s="18" t="s">
        <v>6</v>
      </c>
      <c r="AE114" s="18" t="s">
        <v>7</v>
      </c>
      <c r="AF114" s="18" t="s">
        <v>8</v>
      </c>
      <c r="AG114" s="18" t="s">
        <v>2</v>
      </c>
      <c r="AH114" s="18" t="s">
        <v>3</v>
      </c>
      <c r="AI114" s="18" t="s">
        <v>4</v>
      </c>
      <c r="AJ114" s="18" t="s">
        <v>5</v>
      </c>
      <c r="AK114" s="18" t="s">
        <v>6</v>
      </c>
      <c r="AL114" s="18" t="s">
        <v>7</v>
      </c>
      <c r="AM114" s="18" t="s">
        <v>8</v>
      </c>
      <c r="AN114" s="18" t="s">
        <v>2</v>
      </c>
      <c r="AO114" s="19" t="s">
        <v>3</v>
      </c>
      <c r="AP114" s="23"/>
      <c r="AQ114" s="23"/>
      <c r="AR114" s="23"/>
    </row>
    <row r="115" spans="4:44" ht="19" customHeight="1" thickBot="1" x14ac:dyDescent="0.45">
      <c r="D115" s="21" t="s">
        <v>10</v>
      </c>
      <c r="E115" s="20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31"/>
      <c r="AP115" s="39">
        <v>2</v>
      </c>
      <c r="AQ115" s="39"/>
      <c r="AR115" s="39"/>
    </row>
    <row r="116" spans="4:44" ht="19" customHeight="1" thickBot="1" x14ac:dyDescent="0.45">
      <c r="D116" s="22" t="s">
        <v>11</v>
      </c>
      <c r="E116" s="20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31"/>
      <c r="AP116" s="39">
        <v>32</v>
      </c>
      <c r="AQ116" s="39"/>
      <c r="AR116" s="39"/>
    </row>
    <row r="117" spans="4:44" ht="19" customHeight="1" thickBot="1" x14ac:dyDescent="0.45">
      <c r="D117" s="22" t="s">
        <v>12</v>
      </c>
      <c r="E117" s="20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31"/>
      <c r="AP117" s="39">
        <v>61</v>
      </c>
      <c r="AQ117" s="39"/>
      <c r="AR117" s="39"/>
    </row>
    <row r="118" spans="4:44" ht="19" customHeight="1" thickBot="1" x14ac:dyDescent="0.45">
      <c r="D118" s="22" t="s">
        <v>13</v>
      </c>
      <c r="E118" s="20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31"/>
      <c r="AP118" s="39">
        <v>7</v>
      </c>
      <c r="AQ118" s="39"/>
      <c r="AR118" s="39"/>
    </row>
    <row r="119" spans="4:44" ht="19" customHeight="1" thickBot="1" x14ac:dyDescent="0.45">
      <c r="D119" s="22" t="s">
        <v>14</v>
      </c>
      <c r="E119" s="20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31"/>
      <c r="AP119" s="39">
        <v>7</v>
      </c>
      <c r="AQ119" s="39"/>
      <c r="AR119" s="39"/>
    </row>
    <row r="120" spans="4:44" ht="19" customHeight="1" thickBot="1" x14ac:dyDescent="0.45">
      <c r="D120" s="22" t="s">
        <v>15</v>
      </c>
      <c r="E120" s="20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31"/>
      <c r="AP120" s="39">
        <v>10</v>
      </c>
      <c r="AQ120" s="39"/>
      <c r="AR120" s="39"/>
    </row>
    <row r="121" spans="4:44" ht="19" customHeight="1" thickBot="1" x14ac:dyDescent="0.45">
      <c r="D121" s="22" t="s">
        <v>16</v>
      </c>
      <c r="E121" s="20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31"/>
      <c r="AP121" s="39">
        <v>2</v>
      </c>
      <c r="AQ121" s="39"/>
      <c r="AR121" s="39"/>
    </row>
    <row r="122" spans="4:44" ht="19" customHeight="1" thickBot="1" x14ac:dyDescent="0.45">
      <c r="D122" s="22" t="s">
        <v>17</v>
      </c>
      <c r="E122" s="20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31"/>
      <c r="AP122" s="39">
        <v>4</v>
      </c>
      <c r="AQ122" s="39"/>
      <c r="AR122" s="39"/>
    </row>
    <row r="123" spans="4:44" ht="19" customHeight="1" thickBot="1" x14ac:dyDescent="0.45">
      <c r="D123" s="22" t="s">
        <v>18</v>
      </c>
      <c r="E123" s="20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31"/>
      <c r="AP123" s="39">
        <v>2</v>
      </c>
      <c r="AQ123" s="39"/>
      <c r="AR123" s="39"/>
    </row>
    <row r="124" spans="4:44" ht="19" customHeight="1" thickBot="1" x14ac:dyDescent="0.45">
      <c r="D124" s="22" t="s">
        <v>19</v>
      </c>
      <c r="E124" s="20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31"/>
      <c r="AP124" s="39">
        <v>6</v>
      </c>
      <c r="AQ124" s="39"/>
      <c r="AR124" s="39"/>
    </row>
    <row r="125" spans="4:44" ht="19" customHeight="1" thickBot="1" x14ac:dyDescent="0.45">
      <c r="D125" s="22" t="s">
        <v>20</v>
      </c>
      <c r="E125" s="20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31"/>
      <c r="AP125" s="39">
        <v>13</v>
      </c>
      <c r="AQ125" s="39"/>
      <c r="AR125" s="39"/>
    </row>
    <row r="126" spans="4:44" ht="19" customHeight="1" thickBot="1" x14ac:dyDescent="0.45">
      <c r="D126" s="22" t="s">
        <v>21</v>
      </c>
      <c r="E126" s="20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31"/>
      <c r="AP126" s="39">
        <v>1</v>
      </c>
      <c r="AQ126" s="39"/>
      <c r="AR126" s="39"/>
    </row>
    <row r="127" spans="4:44" ht="19" customHeight="1" thickBot="1" x14ac:dyDescent="0.45">
      <c r="D127" s="22" t="s">
        <v>22</v>
      </c>
      <c r="E127" s="20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31"/>
      <c r="AP127" s="39">
        <v>6</v>
      </c>
      <c r="AQ127" s="39"/>
      <c r="AR127" s="39"/>
    </row>
    <row r="128" spans="4:44" ht="19" customHeight="1" thickBot="1" x14ac:dyDescent="0.45"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</row>
    <row r="129" spans="4:44" ht="19" customHeight="1" thickBot="1" x14ac:dyDescent="0.45">
      <c r="D129" s="21" t="s">
        <v>23</v>
      </c>
      <c r="E129" s="20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31"/>
      <c r="AP129" s="39" t="s">
        <v>24</v>
      </c>
      <c r="AQ129" s="39"/>
      <c r="AR129" s="39"/>
    </row>
    <row r="130" spans="4:44" ht="19" customHeight="1" thickBot="1" x14ac:dyDescent="0.45">
      <c r="D130" s="22" t="s">
        <v>25</v>
      </c>
      <c r="E130" s="20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31"/>
      <c r="AP130" s="39" t="s">
        <v>26</v>
      </c>
      <c r="AQ130" s="39"/>
      <c r="AR130" s="39"/>
    </row>
    <row r="131" spans="4:44" ht="19" customHeight="1" thickBot="1" x14ac:dyDescent="0.45">
      <c r="D131" s="22" t="s">
        <v>27</v>
      </c>
      <c r="E131" s="20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31"/>
      <c r="AP131" s="39" t="s">
        <v>28</v>
      </c>
      <c r="AQ131" s="39"/>
      <c r="AR131" s="39"/>
    </row>
    <row r="132" spans="4:44" ht="19" customHeight="1" thickBot="1" x14ac:dyDescent="0.45">
      <c r="D132" s="22" t="s">
        <v>29</v>
      </c>
      <c r="E132" s="20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31"/>
      <c r="AP132" s="39">
        <v>34</v>
      </c>
      <c r="AQ132" s="39"/>
      <c r="AR132" s="39"/>
    </row>
    <row r="133" spans="4:44" ht="19" customHeight="1" thickBot="1" x14ac:dyDescent="0.45">
      <c r="D133" s="22" t="s">
        <v>30</v>
      </c>
      <c r="E133" s="20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31"/>
      <c r="AP133" s="39">
        <v>13</v>
      </c>
      <c r="AQ133" s="39"/>
      <c r="AR133" s="39"/>
    </row>
    <row r="134" spans="4:44" ht="19" customHeight="1" thickBot="1" x14ac:dyDescent="0.45">
      <c r="D134" s="22" t="s">
        <v>31</v>
      </c>
      <c r="E134" s="20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31"/>
      <c r="AP134" s="39">
        <v>16</v>
      </c>
      <c r="AQ134" s="39"/>
      <c r="AR134" s="39"/>
    </row>
    <row r="135" spans="4:44" ht="19" customHeight="1" thickBot="1" x14ac:dyDescent="0.45">
      <c r="D135" s="22" t="s">
        <v>32</v>
      </c>
      <c r="E135" s="20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31"/>
      <c r="AP135" s="39">
        <v>15</v>
      </c>
      <c r="AQ135" s="39"/>
      <c r="AR135" s="39"/>
    </row>
    <row r="136" spans="4:44" ht="19" customHeight="1" thickBot="1" x14ac:dyDescent="0.45"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32"/>
      <c r="AP136" s="26"/>
      <c r="AQ136" s="26"/>
      <c r="AR136" s="26"/>
    </row>
    <row r="137" spans="4:44" ht="19" customHeight="1" thickBot="1" x14ac:dyDescent="0.45">
      <c r="D137" s="21" t="s">
        <v>33</v>
      </c>
      <c r="E137" s="20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31"/>
      <c r="AP137" s="39">
        <v>3</v>
      </c>
      <c r="AQ137" s="39"/>
      <c r="AR137" s="39"/>
    </row>
    <row r="138" spans="4:44" ht="19" customHeight="1" thickBot="1" x14ac:dyDescent="0.45">
      <c r="D138" s="22" t="s">
        <v>34</v>
      </c>
      <c r="E138" s="20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31"/>
      <c r="AP138" s="39">
        <v>7</v>
      </c>
      <c r="AQ138" s="39"/>
      <c r="AR138" s="39"/>
    </row>
    <row r="139" spans="4:44" ht="19" customHeight="1" thickBot="1" x14ac:dyDescent="0.45">
      <c r="D139" s="22" t="s">
        <v>35</v>
      </c>
      <c r="E139" s="20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31"/>
      <c r="AP139" s="39">
        <v>2</v>
      </c>
      <c r="AQ139" s="39"/>
      <c r="AR139" s="39"/>
    </row>
    <row r="140" spans="4:44" ht="19" customHeight="1" thickBot="1" x14ac:dyDescent="0.45">
      <c r="D140" s="22" t="s">
        <v>36</v>
      </c>
      <c r="E140" s="20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31"/>
      <c r="AP140" s="39">
        <v>4</v>
      </c>
      <c r="AQ140" s="39"/>
      <c r="AR140" s="39"/>
    </row>
    <row r="141" spans="4:44" ht="19" customHeight="1" thickBot="1" x14ac:dyDescent="0.45">
      <c r="D141" s="22" t="s">
        <v>37</v>
      </c>
      <c r="E141" s="20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31"/>
      <c r="AP141" s="39">
        <v>2</v>
      </c>
      <c r="AQ141" s="39"/>
      <c r="AR141" s="39"/>
    </row>
    <row r="142" spans="4:44" ht="19" customHeight="1" thickBot="1" x14ac:dyDescent="0.45">
      <c r="D142" s="22" t="s">
        <v>38</v>
      </c>
      <c r="E142" s="20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31"/>
      <c r="AP142" s="39">
        <v>8</v>
      </c>
      <c r="AQ142" s="39"/>
      <c r="AR142" s="39"/>
    </row>
    <row r="143" spans="4:44" ht="19" customHeight="1" thickBot="1" x14ac:dyDescent="0.45"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33"/>
      <c r="AP143" s="34"/>
      <c r="AQ143" s="34"/>
      <c r="AR143" s="34"/>
    </row>
    <row r="144" spans="4:44" ht="19" customHeight="1" thickBot="1" x14ac:dyDescent="0.45">
      <c r="D144" s="21" t="s">
        <v>39</v>
      </c>
      <c r="E144" s="20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31"/>
      <c r="AP144" s="39">
        <v>3</v>
      </c>
      <c r="AQ144" s="39"/>
      <c r="AR144" s="39"/>
    </row>
    <row r="145" spans="4:44" ht="19" customHeight="1" thickBot="1" x14ac:dyDescent="0.45">
      <c r="D145" s="22" t="s">
        <v>40</v>
      </c>
      <c r="E145" s="20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31"/>
      <c r="AP145" s="39">
        <v>3</v>
      </c>
      <c r="AQ145" s="39"/>
      <c r="AR145" s="39"/>
    </row>
    <row r="146" spans="4:44" ht="19" customHeight="1" thickBot="1" x14ac:dyDescent="0.45">
      <c r="D146" s="22" t="s">
        <v>41</v>
      </c>
      <c r="E146" s="20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31"/>
      <c r="AP146" s="39">
        <v>2</v>
      </c>
      <c r="AQ146" s="39"/>
      <c r="AR146" s="39"/>
    </row>
    <row r="147" spans="4:44" ht="19" customHeight="1" thickBot="1" x14ac:dyDescent="0.45">
      <c r="D147" s="22" t="s">
        <v>42</v>
      </c>
      <c r="E147" s="20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31"/>
      <c r="AP147" s="39">
        <v>2</v>
      </c>
      <c r="AQ147" s="39"/>
      <c r="AR147" s="39"/>
    </row>
    <row r="148" spans="4:44" ht="19" customHeight="1" thickBot="1" x14ac:dyDescent="0.45"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32"/>
      <c r="AP148" s="26"/>
      <c r="AQ148" s="26"/>
      <c r="AR148" s="26"/>
    </row>
    <row r="149" spans="4:44" ht="19" customHeight="1" thickBot="1" x14ac:dyDescent="0.45">
      <c r="D149" s="21" t="s">
        <v>43</v>
      </c>
      <c r="E149" s="20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31"/>
      <c r="AP149" s="39">
        <v>2</v>
      </c>
      <c r="AQ149" s="39"/>
      <c r="AR149" s="39"/>
    </row>
    <row r="150" spans="4:44" ht="19" customHeight="1" thickBot="1" x14ac:dyDescent="0.45">
      <c r="D150" s="22" t="s">
        <v>44</v>
      </c>
      <c r="E150" s="20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31"/>
      <c r="AP150" s="39">
        <v>2</v>
      </c>
      <c r="AQ150" s="39"/>
      <c r="AR150" s="39"/>
    </row>
    <row r="151" spans="4:44" ht="19" customHeight="1" thickBot="1" x14ac:dyDescent="0.45">
      <c r="D151" s="22" t="s">
        <v>45</v>
      </c>
      <c r="E151" s="20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31"/>
      <c r="AP151" s="39">
        <v>1</v>
      </c>
      <c r="AQ151" s="39"/>
      <c r="AR151" s="39"/>
    </row>
    <row r="152" spans="4:44" ht="19" customHeight="1" thickBot="1" x14ac:dyDescent="0.45">
      <c r="D152" s="22" t="s">
        <v>46</v>
      </c>
      <c r="E152" s="20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31"/>
      <c r="AP152" s="39">
        <v>2</v>
      </c>
      <c r="AQ152" s="39"/>
      <c r="AR152" s="39"/>
    </row>
    <row r="153" spans="4:44" ht="19" customHeight="1" thickBot="1" x14ac:dyDescent="0.45">
      <c r="D153" s="22" t="s">
        <v>47</v>
      </c>
      <c r="E153" s="20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31"/>
      <c r="AP153" s="39">
        <v>2</v>
      </c>
      <c r="AQ153" s="39"/>
      <c r="AR153" s="39"/>
    </row>
    <row r="154" spans="4:44" ht="19" customHeight="1" thickBot="1" x14ac:dyDescent="0.45">
      <c r="D154" s="22" t="s">
        <v>48</v>
      </c>
      <c r="E154" s="20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31"/>
      <c r="AP154" s="39">
        <v>3</v>
      </c>
      <c r="AQ154" s="39"/>
      <c r="AR154" s="39"/>
    </row>
    <row r="155" spans="4:44" ht="19" customHeight="1" thickBot="1" x14ac:dyDescent="0.45">
      <c r="D155" s="22" t="s">
        <v>49</v>
      </c>
      <c r="E155" s="20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31"/>
      <c r="AP155" s="39">
        <v>2</v>
      </c>
      <c r="AQ155" s="39"/>
      <c r="AR155" s="39"/>
    </row>
    <row r="156" spans="4:44" ht="19" customHeight="1" thickBot="1" x14ac:dyDescent="0.45">
      <c r="D156" s="22" t="s">
        <v>50</v>
      </c>
      <c r="E156" s="20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31"/>
      <c r="AP156" s="39">
        <v>1</v>
      </c>
      <c r="AQ156" s="39"/>
      <c r="AR156" s="39"/>
    </row>
    <row r="157" spans="4:44" ht="19" customHeight="1" thickBot="1" x14ac:dyDescent="0.45">
      <c r="D157" s="22" t="s">
        <v>51</v>
      </c>
      <c r="E157" s="20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31"/>
      <c r="AP157" s="39">
        <v>1</v>
      </c>
      <c r="AQ157" s="39"/>
      <c r="AR157" s="39"/>
    </row>
    <row r="158" spans="4:44" ht="19" customHeight="1" thickBot="1" x14ac:dyDescent="0.45">
      <c r="D158" s="22" t="s">
        <v>52</v>
      </c>
      <c r="E158" s="20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31"/>
      <c r="AP158" s="39">
        <v>3</v>
      </c>
      <c r="AQ158" s="39"/>
      <c r="AR158" s="39"/>
    </row>
    <row r="159" spans="4:44" ht="19" customHeight="1" thickBot="1" x14ac:dyDescent="0.45">
      <c r="D159" s="22" t="s">
        <v>53</v>
      </c>
      <c r="E159" s="20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31"/>
      <c r="AP159" s="39">
        <v>2</v>
      </c>
      <c r="AQ159" s="39"/>
      <c r="AR159" s="39"/>
    </row>
    <row r="160" spans="4:44" ht="19" customHeight="1" thickBot="1" x14ac:dyDescent="0.45">
      <c r="D160" s="22" t="s">
        <v>54</v>
      </c>
      <c r="E160" s="20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31"/>
      <c r="AP160" s="39">
        <v>1</v>
      </c>
      <c r="AQ160" s="39"/>
      <c r="AR160" s="39"/>
    </row>
    <row r="161" spans="4:44" ht="19" customHeight="1" thickBot="1" x14ac:dyDescent="0.45">
      <c r="D161" s="22" t="s">
        <v>55</v>
      </c>
      <c r="E161" s="20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31"/>
      <c r="AP161" s="39">
        <v>1</v>
      </c>
      <c r="AQ161" s="39"/>
      <c r="AR161" s="39"/>
    </row>
    <row r="162" spans="4:44" ht="19" customHeight="1" thickBot="1" x14ac:dyDescent="0.45">
      <c r="D162" s="22" t="s">
        <v>56</v>
      </c>
      <c r="E162" s="20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31"/>
      <c r="AP162" s="39">
        <v>2</v>
      </c>
      <c r="AQ162" s="39"/>
      <c r="AR162" s="39"/>
    </row>
    <row r="163" spans="4:44" ht="19" customHeight="1" thickBot="1" x14ac:dyDescent="0.45">
      <c r="D163" s="22" t="s">
        <v>57</v>
      </c>
      <c r="E163" s="20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31"/>
      <c r="AP163" s="39">
        <v>2</v>
      </c>
      <c r="AQ163" s="39"/>
      <c r="AR163" s="39"/>
    </row>
    <row r="164" spans="4:44" ht="19" customHeight="1" x14ac:dyDescent="0.4">
      <c r="D164" s="8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30"/>
      <c r="AQ164" s="30"/>
      <c r="AR164" s="30"/>
    </row>
    <row r="165" spans="4:44" ht="19" customHeight="1" x14ac:dyDescent="0.4">
      <c r="D165" s="8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30"/>
      <c r="AQ165" s="30"/>
      <c r="AR165" s="30"/>
    </row>
    <row r="166" spans="4:44" ht="19" customHeight="1" x14ac:dyDescent="0.4">
      <c r="D166" s="9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30"/>
      <c r="AQ166" s="30"/>
      <c r="AR166" s="30"/>
    </row>
    <row r="167" spans="4:44" ht="19" customHeight="1" x14ac:dyDescent="0.4">
      <c r="D167" s="9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30"/>
      <c r="AQ167" s="30"/>
      <c r="AR167" s="30"/>
    </row>
    <row r="168" spans="4:44" ht="12" customHeight="1" x14ac:dyDescent="0.4"/>
    <row r="169" spans="4:44" s="10" customFormat="1" ht="19" customHeight="1" x14ac:dyDescent="0.4">
      <c r="D169" s="41">
        <f>DATE(CalendarYear,4,1)</f>
        <v>45748</v>
      </c>
      <c r="E169" s="16" t="str">
        <f>IF(DAY(AprSun1)=1,"",IF(AND(YEAR(AprSun1+1)=CalendarYear,MONTH(AprSun1+1)=4),AprSun1+1,""))</f>
        <v/>
      </c>
      <c r="F169" s="16" t="str">
        <f>IF(DAY(AprSun1)=1,"",IF(AND(YEAR(AprSun1+2)=CalendarYear,MONTH(AprSun1+2)=4),AprSun1+2,""))</f>
        <v/>
      </c>
      <c r="G169" s="16">
        <f>IF(DAY(AprSun1)=1,"",IF(AND(YEAR(AprSun1+3)=CalendarYear,MONTH(AprSun1+3)=4),AprSun1+3,""))</f>
        <v>45748</v>
      </c>
      <c r="H169" s="16">
        <f>IF(DAY(AprSun1)=1,"",IF(AND(YEAR(AprSun1+4)=CalendarYear,MONTH(AprSun1+4)=4),AprSun1+4,""))</f>
        <v>45749</v>
      </c>
      <c r="I169" s="16">
        <f>IF(DAY(AprSun1)=1,"",IF(AND(YEAR(AprSun1+5)=CalendarYear,MONTH(AprSun1+5)=4),AprSun1+5,""))</f>
        <v>45750</v>
      </c>
      <c r="J169" s="16">
        <f>IF(DAY(AprSun1)=1,"",IF(AND(YEAR(AprSun1+6)=CalendarYear,MONTH(AprSun1+6)=4),AprSun1+6,""))</f>
        <v>45751</v>
      </c>
      <c r="K169" s="16">
        <f>IF(DAY(AprSun1)=1,IF(AND(YEAR(AprSun1)=CalendarYear,MONTH(AprSun1)=4),AprSun1,""),IF(AND(YEAR(AprSun1+7)=CalendarYear,MONTH(AprSun1+7)=4),AprSun1+7,""))</f>
        <v>45752</v>
      </c>
      <c r="L169" s="16">
        <f>IF(DAY(AprSun1)=1,IF(AND(YEAR(AprSun1+1)=CalendarYear,MONTH(AprSun1+1)=4),AprSun1+1,""),IF(AND(YEAR(AprSun1+8)=CalendarYear,MONTH(AprSun1+8)=4),AprSun1+8,""))</f>
        <v>45753</v>
      </c>
      <c r="M169" s="16">
        <f>IF(DAY(AprSun1)=1,IF(AND(YEAR(AprSun1+2)=CalendarYear,MONTH(AprSun1+2)=4),AprSun1+2,""),IF(AND(YEAR(AprSun1+9)=CalendarYear,MONTH(AprSun1+9)=4),AprSun1+9,""))</f>
        <v>45754</v>
      </c>
      <c r="N169" s="16">
        <f>IF(DAY(AprSun1)=1,IF(AND(YEAR(AprSun1+3)=CalendarYear,MONTH(AprSun1+3)=4),AprSun1+3,""),IF(AND(YEAR(AprSun1+10)=CalendarYear,MONTH(AprSun1+10)=4),AprSun1+10,""))</f>
        <v>45755</v>
      </c>
      <c r="O169" s="16">
        <f>IF(DAY(AprSun1)=1,IF(AND(YEAR(AprSun1+4)=CalendarYear,MONTH(AprSun1+4)=4),AprSun1+4,""),IF(AND(YEAR(AprSun1+11)=CalendarYear,MONTH(AprSun1+11)=4),AprSun1+11,""))</f>
        <v>45756</v>
      </c>
      <c r="P169" s="16">
        <f>IF(DAY(AprSun1)=1,IF(AND(YEAR(AprSun1+5)=CalendarYear,MONTH(AprSun1+5)=4),AprSun1+5,""),IF(AND(YEAR(AprSun1+12)=CalendarYear,MONTH(AprSun1+12)=4),AprSun1+12,""))</f>
        <v>45757</v>
      </c>
      <c r="Q169" s="16">
        <f>IF(DAY(AprSun1)=1,IF(AND(YEAR(AprSun1+6)=CalendarYear,MONTH(AprSun1+6)=4),AprSun1+6,""),IF(AND(YEAR(AprSun1+13)=CalendarYear,MONTH(AprSun1+13)=4),AprSun1+13,""))</f>
        <v>45758</v>
      </c>
      <c r="R169" s="16">
        <f>IF(DAY(AprSun1)=1,IF(AND(YEAR(AprSun1+7)=CalendarYear,MONTH(AprSun1+7)=4),AprSun1+7,""),IF(AND(YEAR(AprSun1+14)=CalendarYear,MONTH(AprSun1+14)=4),AprSun1+14,""))</f>
        <v>45759</v>
      </c>
      <c r="S169" s="16">
        <f>IF(DAY(AprSun1)=1,IF(AND(YEAR(AprSun1+8)=CalendarYear,MONTH(AprSun1+8)=4),AprSun1+8,""),IF(AND(YEAR(AprSun1+15)=CalendarYear,MONTH(AprSun1+15)=4),AprSun1+15,""))</f>
        <v>45760</v>
      </c>
      <c r="T169" s="16">
        <f>IF(DAY(AprSun1)=1,IF(AND(YEAR(AprSun1+9)=CalendarYear,MONTH(AprSun1+9)=4),AprSun1+9,""),IF(AND(YEAR(AprSun1+16)=CalendarYear,MONTH(AprSun1+16)=4),AprSun1+16,""))</f>
        <v>45761</v>
      </c>
      <c r="U169" s="16">
        <f>IF(DAY(AprSun1)=1,IF(AND(YEAR(AprSun1+10)=CalendarYear,MONTH(AprSun1+10)=4),AprSun1+10,""),IF(AND(YEAR(AprSun1+17)=CalendarYear,MONTH(AprSun1+17)=4),AprSun1+17,""))</f>
        <v>45762</v>
      </c>
      <c r="V169" s="16">
        <f>IF(DAY(AprSun1)=1,IF(AND(YEAR(AprSun1+11)=CalendarYear,MONTH(AprSun1+11)=4),AprSun1+11,""),IF(AND(YEAR(AprSun1+18)=CalendarYear,MONTH(AprSun1+18)=4),AprSun1+18,""))</f>
        <v>45763</v>
      </c>
      <c r="W169" s="16">
        <f>IF(DAY(AprSun1)=1,IF(AND(YEAR(AprSun1+12)=CalendarYear,MONTH(AprSun1+12)=4),AprSun1+12,""),IF(AND(YEAR(AprSun1+19)=CalendarYear,MONTH(AprSun1+19)=4),AprSun1+19,""))</f>
        <v>45764</v>
      </c>
      <c r="X169" s="16">
        <f>IF(DAY(AprSun1)=1,IF(AND(YEAR(AprSun1+13)=CalendarYear,MONTH(AprSun1+13)=4),AprSun1+13,""),IF(AND(YEAR(AprSun1+20)=CalendarYear,MONTH(AprSun1+20)=4),AprSun1+20,""))</f>
        <v>45765</v>
      </c>
      <c r="Y169" s="16">
        <f>IF(DAY(AprSun1)=1,IF(AND(YEAR(AprSun1+14)=CalendarYear,MONTH(AprSun1+14)=4),AprSun1+14,""),IF(AND(YEAR(AprSun1+21)=CalendarYear,MONTH(AprSun1+21)=4),AprSun1+21,""))</f>
        <v>45766</v>
      </c>
      <c r="Z169" s="16">
        <f>IF(DAY(AprSun1)=1,IF(AND(YEAR(AprSun1+15)=CalendarYear,MONTH(AprSun1+15)=4),AprSun1+15,""),IF(AND(YEAR(AprSun1+22)=CalendarYear,MONTH(AprSun1+22)=4),AprSun1+22,""))</f>
        <v>45767</v>
      </c>
      <c r="AA169" s="16">
        <f>IF(DAY(AprSun1)=1,IF(AND(YEAR(AprSun1+16)=CalendarYear,MONTH(AprSun1+16)=4),AprSun1+16,""),IF(AND(YEAR(AprSun1+23)=CalendarYear,MONTH(AprSun1+23)=4),AprSun1+23,""))</f>
        <v>45768</v>
      </c>
      <c r="AB169" s="16">
        <f>IF(DAY(AprSun1)=1,IF(AND(YEAR(AprSun1+17)=CalendarYear,MONTH(AprSun1+17)=4),AprSun1+17,""),IF(AND(YEAR(AprSun1+24)=CalendarYear,MONTH(AprSun1+24)=4),AprSun1+24,""))</f>
        <v>45769</v>
      </c>
      <c r="AC169" s="16">
        <f>IF(DAY(AprSun1)=1,IF(AND(YEAR(AprSun1+18)=CalendarYear,MONTH(AprSun1+18)=4),AprSun1+18,""),IF(AND(YEAR(AprSun1+25)=CalendarYear,MONTH(AprSun1+25)=4),AprSun1+25,""))</f>
        <v>45770</v>
      </c>
      <c r="AD169" s="16">
        <f>IF(DAY(AprSun1)=1,IF(AND(YEAR(AprSun1+19)=CalendarYear,MONTH(AprSun1+19)=4),AprSun1+19,""),IF(AND(YEAR(AprSun1+26)=CalendarYear,MONTH(AprSun1+26)=4),AprSun1+26,""))</f>
        <v>45771</v>
      </c>
      <c r="AE169" s="16">
        <f>IF(DAY(AprSun1)=1,IF(AND(YEAR(AprSun1+20)=CalendarYear,MONTH(AprSun1+20)=4),AprSun1+20,""),IF(AND(YEAR(AprSun1+27)=CalendarYear,MONTH(AprSun1+27)=4),AprSun1+27,""))</f>
        <v>45772</v>
      </c>
      <c r="AF169" s="16">
        <f>IF(DAY(AprSun1)=1,IF(AND(YEAR(AprSun1+21)=CalendarYear,MONTH(AprSun1+21)=4),AprSun1+21,""),IF(AND(YEAR(AprSun1+28)=CalendarYear,MONTH(AprSun1+28)=4),AprSun1+28,""))</f>
        <v>45773</v>
      </c>
      <c r="AG169" s="16">
        <f>IF(DAY(AprSun1)=1,IF(AND(YEAR(AprSun1+22)=CalendarYear,MONTH(AprSun1+22)=4),AprSun1+22,""),IF(AND(YEAR(AprSun1+29)=CalendarYear,MONTH(AprSun1+29)=4),AprSun1+29,""))</f>
        <v>45774</v>
      </c>
      <c r="AH169" s="16">
        <f>IF(DAY(AprSun1)=1,IF(AND(YEAR(AprSun1+23)=CalendarYear,MONTH(AprSun1+23)=4),AprSun1+23,""),IF(AND(YEAR(AprSun1+30)=CalendarYear,MONTH(AprSun1+30)=4),AprSun1+30,""))</f>
        <v>45775</v>
      </c>
      <c r="AI169" s="16">
        <f>IF(DAY(AprSun1)=1,IF(AND(YEAR(AprSun1+24)=CalendarYear,MONTH(AprSun1+24)=4),AprSun1+24,""),IF(AND(YEAR(AprSun1+31)=CalendarYear,MONTH(AprSun1+31)=4),AprSun1+31,""))</f>
        <v>45776</v>
      </c>
      <c r="AJ169" s="16">
        <f>IF(DAY(AprSun1)=1,IF(AND(YEAR(AprSun1+25)=CalendarYear,MONTH(AprSun1+25)=4),AprSun1+25,""),IF(AND(YEAR(AprSun1+32)=CalendarYear,MONTH(AprSun1+32)=4),AprSun1+32,""))</f>
        <v>45777</v>
      </c>
      <c r="AK169" s="16" t="str">
        <f>IF(DAY(AprSun1)=1,IF(AND(YEAR(AprSun1+26)=CalendarYear,MONTH(AprSun1+26)=4),AprSun1+26,""),IF(AND(YEAR(AprSun1+33)=CalendarYear,MONTH(AprSun1+33)=4),AprSun1+33,""))</f>
        <v/>
      </c>
      <c r="AL169" s="16" t="str">
        <f>IF(DAY(AprSun1)=1,IF(AND(YEAR(AprSun1+27)=CalendarYear,MONTH(AprSun1+27)=4),AprSun1+27,""),IF(AND(YEAR(AprSun1+34)=CalendarYear,MONTH(AprSun1+34)=4),AprSun1+34,""))</f>
        <v/>
      </c>
      <c r="AM169" s="16" t="str">
        <f>IF(DAY(AprSun1)=1,IF(AND(YEAR(AprSun1+28)=CalendarYear,MONTH(AprSun1+28)=4),AprSun1+28,""),IF(AND(YEAR(AprSun1+35)=CalendarYear,MONTH(AprSun1+35)=4),AprSun1+35,""))</f>
        <v/>
      </c>
      <c r="AN169" s="16" t="str">
        <f>IF(DAY(AprSun1)=1,IF(AND(YEAR(AprSun1+29)=CalendarYear,MONTH(AprSun1+29)=4),AprSun1+29,""),IF(AND(YEAR(AprSun1+36)=CalendarYear,MONTH(AprSun1+36)=4),AprSun1+36,""))</f>
        <v/>
      </c>
      <c r="AO169" s="17" t="str">
        <f>IF(DAY(AprSun1)=1,IF(AND(YEAR(AprSun1+30)=CalendarYear,MONTH(AprSun1+30)=4),AprSun1+30,""),IF(AND(YEAR(AprSun1+37)=CalendarYear,MONTH(AprSun1+37)=4),AprSun1+37,""))</f>
        <v/>
      </c>
      <c r="AP169" s="29"/>
      <c r="AQ169" s="29"/>
      <c r="AR169" s="29"/>
    </row>
    <row r="170" spans="4:44" s="10" customFormat="1" ht="19" customHeight="1" thickBot="1" x14ac:dyDescent="0.45">
      <c r="D170" s="43"/>
      <c r="E170" s="18" t="s">
        <v>2</v>
      </c>
      <c r="F170" s="18" t="s">
        <v>3</v>
      </c>
      <c r="G170" s="18" t="s">
        <v>4</v>
      </c>
      <c r="H170" s="18" t="s">
        <v>5</v>
      </c>
      <c r="I170" s="18" t="s">
        <v>6</v>
      </c>
      <c r="J170" s="18" t="s">
        <v>7</v>
      </c>
      <c r="K170" s="18" t="s">
        <v>8</v>
      </c>
      <c r="L170" s="18" t="s">
        <v>2</v>
      </c>
      <c r="M170" s="18" t="s">
        <v>3</v>
      </c>
      <c r="N170" s="18" t="s">
        <v>4</v>
      </c>
      <c r="O170" s="18" t="s">
        <v>5</v>
      </c>
      <c r="P170" s="18" t="s">
        <v>6</v>
      </c>
      <c r="Q170" s="18" t="s">
        <v>7</v>
      </c>
      <c r="R170" s="18" t="s">
        <v>8</v>
      </c>
      <c r="S170" s="18" t="s">
        <v>2</v>
      </c>
      <c r="T170" s="18" t="s">
        <v>3</v>
      </c>
      <c r="U170" s="18" t="s">
        <v>4</v>
      </c>
      <c r="V170" s="18" t="s">
        <v>5</v>
      </c>
      <c r="W170" s="18" t="s">
        <v>6</v>
      </c>
      <c r="X170" s="18" t="s">
        <v>7</v>
      </c>
      <c r="Y170" s="18" t="s">
        <v>8</v>
      </c>
      <c r="Z170" s="18" t="s">
        <v>2</v>
      </c>
      <c r="AA170" s="18" t="s">
        <v>3</v>
      </c>
      <c r="AB170" s="18" t="s">
        <v>4</v>
      </c>
      <c r="AC170" s="18" t="s">
        <v>5</v>
      </c>
      <c r="AD170" s="18" t="s">
        <v>6</v>
      </c>
      <c r="AE170" s="18" t="s">
        <v>7</v>
      </c>
      <c r="AF170" s="18" t="s">
        <v>8</v>
      </c>
      <c r="AG170" s="18" t="s">
        <v>2</v>
      </c>
      <c r="AH170" s="18" t="s">
        <v>3</v>
      </c>
      <c r="AI170" s="18" t="s">
        <v>4</v>
      </c>
      <c r="AJ170" s="18" t="s">
        <v>5</v>
      </c>
      <c r="AK170" s="18" t="s">
        <v>6</v>
      </c>
      <c r="AL170" s="18" t="s">
        <v>7</v>
      </c>
      <c r="AM170" s="18" t="s">
        <v>8</v>
      </c>
      <c r="AN170" s="18" t="s">
        <v>2</v>
      </c>
      <c r="AO170" s="19" t="s">
        <v>3</v>
      </c>
      <c r="AP170" s="23"/>
      <c r="AQ170" s="23"/>
      <c r="AR170" s="23"/>
    </row>
    <row r="171" spans="4:44" ht="19" customHeight="1" thickBot="1" x14ac:dyDescent="0.45">
      <c r="D171" s="21" t="s">
        <v>10</v>
      </c>
      <c r="E171" s="20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31"/>
      <c r="AP171" s="39">
        <v>2</v>
      </c>
      <c r="AQ171" s="39"/>
      <c r="AR171" s="39"/>
    </row>
    <row r="172" spans="4:44" ht="19" customHeight="1" thickBot="1" x14ac:dyDescent="0.45">
      <c r="D172" s="22" t="s">
        <v>11</v>
      </c>
      <c r="E172" s="20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31"/>
      <c r="AP172" s="39">
        <v>32</v>
      </c>
      <c r="AQ172" s="39"/>
      <c r="AR172" s="39"/>
    </row>
    <row r="173" spans="4:44" ht="19" customHeight="1" thickBot="1" x14ac:dyDescent="0.45">
      <c r="D173" s="22" t="s">
        <v>12</v>
      </c>
      <c r="E173" s="20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31"/>
      <c r="AP173" s="39">
        <v>61</v>
      </c>
      <c r="AQ173" s="39"/>
      <c r="AR173" s="39"/>
    </row>
    <row r="174" spans="4:44" ht="19" customHeight="1" thickBot="1" x14ac:dyDescent="0.45">
      <c r="D174" s="22" t="s">
        <v>13</v>
      </c>
      <c r="E174" s="20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31"/>
      <c r="AP174" s="39">
        <v>7</v>
      </c>
      <c r="AQ174" s="39"/>
      <c r="AR174" s="39"/>
    </row>
    <row r="175" spans="4:44" ht="19" customHeight="1" thickBot="1" x14ac:dyDescent="0.45">
      <c r="D175" s="22" t="s">
        <v>14</v>
      </c>
      <c r="E175" s="20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31"/>
      <c r="AP175" s="39">
        <v>7</v>
      </c>
      <c r="AQ175" s="39"/>
      <c r="AR175" s="39"/>
    </row>
    <row r="176" spans="4:44" ht="19" customHeight="1" thickBot="1" x14ac:dyDescent="0.45">
      <c r="D176" s="22" t="s">
        <v>15</v>
      </c>
      <c r="E176" s="20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31"/>
      <c r="AP176" s="39">
        <v>10</v>
      </c>
      <c r="AQ176" s="39"/>
      <c r="AR176" s="39"/>
    </row>
    <row r="177" spans="4:44" ht="19" customHeight="1" thickBot="1" x14ac:dyDescent="0.45">
      <c r="D177" s="22" t="s">
        <v>16</v>
      </c>
      <c r="E177" s="20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31"/>
      <c r="AP177" s="39">
        <v>2</v>
      </c>
      <c r="AQ177" s="39"/>
      <c r="AR177" s="39"/>
    </row>
    <row r="178" spans="4:44" ht="19" customHeight="1" thickBot="1" x14ac:dyDescent="0.45">
      <c r="D178" s="22" t="s">
        <v>17</v>
      </c>
      <c r="E178" s="20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31"/>
      <c r="AP178" s="39">
        <v>4</v>
      </c>
      <c r="AQ178" s="39"/>
      <c r="AR178" s="39"/>
    </row>
    <row r="179" spans="4:44" ht="19" customHeight="1" thickBot="1" x14ac:dyDescent="0.45">
      <c r="D179" s="22" t="s">
        <v>18</v>
      </c>
      <c r="E179" s="20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31"/>
      <c r="AP179" s="39">
        <v>2</v>
      </c>
      <c r="AQ179" s="39"/>
      <c r="AR179" s="39"/>
    </row>
    <row r="180" spans="4:44" ht="19" customHeight="1" thickBot="1" x14ac:dyDescent="0.45">
      <c r="D180" s="22" t="s">
        <v>19</v>
      </c>
      <c r="E180" s="20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31"/>
      <c r="AP180" s="39">
        <v>6</v>
      </c>
      <c r="AQ180" s="39"/>
      <c r="AR180" s="39"/>
    </row>
    <row r="181" spans="4:44" ht="19" customHeight="1" thickBot="1" x14ac:dyDescent="0.45">
      <c r="D181" s="22" t="s">
        <v>20</v>
      </c>
      <c r="E181" s="20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31"/>
      <c r="AP181" s="39">
        <v>13</v>
      </c>
      <c r="AQ181" s="39"/>
      <c r="AR181" s="39"/>
    </row>
    <row r="182" spans="4:44" ht="19" customHeight="1" thickBot="1" x14ac:dyDescent="0.45">
      <c r="D182" s="22" t="s">
        <v>21</v>
      </c>
      <c r="E182" s="20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31"/>
      <c r="AP182" s="39">
        <v>1</v>
      </c>
      <c r="AQ182" s="39"/>
      <c r="AR182" s="39"/>
    </row>
    <row r="183" spans="4:44" ht="19" customHeight="1" thickBot="1" x14ac:dyDescent="0.45">
      <c r="D183" s="22" t="s">
        <v>22</v>
      </c>
      <c r="E183" s="20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31"/>
      <c r="AP183" s="39">
        <v>6</v>
      </c>
      <c r="AQ183" s="39"/>
      <c r="AR183" s="39"/>
    </row>
    <row r="184" spans="4:44" ht="19" customHeight="1" thickBot="1" x14ac:dyDescent="0.45"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</row>
    <row r="185" spans="4:44" ht="19" customHeight="1" thickBot="1" x14ac:dyDescent="0.45">
      <c r="D185" s="21" t="s">
        <v>23</v>
      </c>
      <c r="E185" s="20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31"/>
      <c r="AP185" s="39" t="s">
        <v>24</v>
      </c>
      <c r="AQ185" s="39"/>
      <c r="AR185" s="39"/>
    </row>
    <row r="186" spans="4:44" ht="19" customHeight="1" thickBot="1" x14ac:dyDescent="0.45">
      <c r="D186" s="22" t="s">
        <v>25</v>
      </c>
      <c r="E186" s="20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31"/>
      <c r="AP186" s="39" t="s">
        <v>26</v>
      </c>
      <c r="AQ186" s="39"/>
      <c r="AR186" s="39"/>
    </row>
    <row r="187" spans="4:44" ht="19" customHeight="1" thickBot="1" x14ac:dyDescent="0.45">
      <c r="D187" s="22" t="s">
        <v>27</v>
      </c>
      <c r="E187" s="20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31"/>
      <c r="AP187" s="39" t="s">
        <v>28</v>
      </c>
      <c r="AQ187" s="39"/>
      <c r="AR187" s="39"/>
    </row>
    <row r="188" spans="4:44" ht="19" customHeight="1" thickBot="1" x14ac:dyDescent="0.45">
      <c r="D188" s="22" t="s">
        <v>29</v>
      </c>
      <c r="E188" s="20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31"/>
      <c r="AP188" s="39">
        <v>34</v>
      </c>
      <c r="AQ188" s="39"/>
      <c r="AR188" s="39"/>
    </row>
    <row r="189" spans="4:44" ht="19" customHeight="1" thickBot="1" x14ac:dyDescent="0.45">
      <c r="D189" s="22" t="s">
        <v>30</v>
      </c>
      <c r="E189" s="20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31"/>
      <c r="AP189" s="39">
        <v>13</v>
      </c>
      <c r="AQ189" s="39"/>
      <c r="AR189" s="39"/>
    </row>
    <row r="190" spans="4:44" ht="19" customHeight="1" thickBot="1" x14ac:dyDescent="0.45">
      <c r="D190" s="22" t="s">
        <v>31</v>
      </c>
      <c r="E190" s="20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31"/>
      <c r="AP190" s="39">
        <v>16</v>
      </c>
      <c r="AQ190" s="39"/>
      <c r="AR190" s="39"/>
    </row>
    <row r="191" spans="4:44" ht="19" customHeight="1" thickBot="1" x14ac:dyDescent="0.45">
      <c r="D191" s="22" t="s">
        <v>32</v>
      </c>
      <c r="E191" s="20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31"/>
      <c r="AP191" s="39">
        <v>15</v>
      </c>
      <c r="AQ191" s="39"/>
      <c r="AR191" s="39"/>
    </row>
    <row r="192" spans="4:44" ht="19" customHeight="1" thickBot="1" x14ac:dyDescent="0.45"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32"/>
      <c r="AP192" s="26"/>
      <c r="AQ192" s="26"/>
      <c r="AR192" s="26"/>
    </row>
    <row r="193" spans="4:44" ht="19" customHeight="1" thickBot="1" x14ac:dyDescent="0.45">
      <c r="D193" s="21" t="s">
        <v>33</v>
      </c>
      <c r="E193" s="20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31"/>
      <c r="AP193" s="39">
        <v>3</v>
      </c>
      <c r="AQ193" s="39"/>
      <c r="AR193" s="39"/>
    </row>
    <row r="194" spans="4:44" ht="19" customHeight="1" thickBot="1" x14ac:dyDescent="0.45">
      <c r="D194" s="22" t="s">
        <v>34</v>
      </c>
      <c r="E194" s="20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31"/>
      <c r="AP194" s="39">
        <v>7</v>
      </c>
      <c r="AQ194" s="39"/>
      <c r="AR194" s="39"/>
    </row>
    <row r="195" spans="4:44" ht="19" customHeight="1" thickBot="1" x14ac:dyDescent="0.45">
      <c r="D195" s="22" t="s">
        <v>35</v>
      </c>
      <c r="E195" s="20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31"/>
      <c r="AP195" s="39">
        <v>2</v>
      </c>
      <c r="AQ195" s="39"/>
      <c r="AR195" s="39"/>
    </row>
    <row r="196" spans="4:44" ht="19" customHeight="1" thickBot="1" x14ac:dyDescent="0.45">
      <c r="D196" s="22" t="s">
        <v>36</v>
      </c>
      <c r="E196" s="20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31"/>
      <c r="AP196" s="39">
        <v>4</v>
      </c>
      <c r="AQ196" s="39"/>
      <c r="AR196" s="39"/>
    </row>
    <row r="197" spans="4:44" ht="19" customHeight="1" thickBot="1" x14ac:dyDescent="0.45">
      <c r="D197" s="22" t="s">
        <v>37</v>
      </c>
      <c r="E197" s="20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31"/>
      <c r="AP197" s="39">
        <v>2</v>
      </c>
      <c r="AQ197" s="39"/>
      <c r="AR197" s="39"/>
    </row>
    <row r="198" spans="4:44" ht="19" customHeight="1" thickBot="1" x14ac:dyDescent="0.45">
      <c r="D198" s="22" t="s">
        <v>38</v>
      </c>
      <c r="E198" s="20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31"/>
      <c r="AP198" s="39">
        <v>8</v>
      </c>
      <c r="AQ198" s="39"/>
      <c r="AR198" s="39"/>
    </row>
    <row r="199" spans="4:44" ht="19" customHeight="1" thickBot="1" x14ac:dyDescent="0.45"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33"/>
      <c r="AP199" s="34"/>
      <c r="AQ199" s="34"/>
      <c r="AR199" s="34"/>
    </row>
    <row r="200" spans="4:44" ht="19" customHeight="1" thickBot="1" x14ac:dyDescent="0.45">
      <c r="D200" s="21" t="s">
        <v>39</v>
      </c>
      <c r="E200" s="20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31"/>
      <c r="AP200" s="39">
        <v>3</v>
      </c>
      <c r="AQ200" s="39"/>
      <c r="AR200" s="39"/>
    </row>
    <row r="201" spans="4:44" ht="19" customHeight="1" thickBot="1" x14ac:dyDescent="0.45">
      <c r="D201" s="22" t="s">
        <v>40</v>
      </c>
      <c r="E201" s="20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31"/>
      <c r="AP201" s="39">
        <v>3</v>
      </c>
      <c r="AQ201" s="39"/>
      <c r="AR201" s="39"/>
    </row>
    <row r="202" spans="4:44" ht="19" customHeight="1" thickBot="1" x14ac:dyDescent="0.45">
      <c r="D202" s="22" t="s">
        <v>41</v>
      </c>
      <c r="E202" s="20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31"/>
      <c r="AP202" s="39">
        <v>2</v>
      </c>
      <c r="AQ202" s="39"/>
      <c r="AR202" s="39"/>
    </row>
    <row r="203" spans="4:44" ht="19" customHeight="1" thickBot="1" x14ac:dyDescent="0.45">
      <c r="D203" s="22" t="s">
        <v>42</v>
      </c>
      <c r="E203" s="20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31"/>
      <c r="AP203" s="39">
        <v>2</v>
      </c>
      <c r="AQ203" s="39"/>
      <c r="AR203" s="39"/>
    </row>
    <row r="204" spans="4:44" ht="19" customHeight="1" thickBot="1" x14ac:dyDescent="0.45"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32"/>
      <c r="AP204" s="26"/>
      <c r="AQ204" s="26"/>
      <c r="AR204" s="26"/>
    </row>
    <row r="205" spans="4:44" ht="19" customHeight="1" thickBot="1" x14ac:dyDescent="0.45">
      <c r="D205" s="21" t="s">
        <v>43</v>
      </c>
      <c r="E205" s="20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31"/>
      <c r="AP205" s="39">
        <v>2</v>
      </c>
      <c r="AQ205" s="39"/>
      <c r="AR205" s="39"/>
    </row>
    <row r="206" spans="4:44" ht="19" customHeight="1" thickBot="1" x14ac:dyDescent="0.45">
      <c r="D206" s="22" t="s">
        <v>44</v>
      </c>
      <c r="E206" s="20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31"/>
      <c r="AP206" s="39">
        <v>2</v>
      </c>
      <c r="AQ206" s="39"/>
      <c r="AR206" s="39"/>
    </row>
    <row r="207" spans="4:44" ht="19" customHeight="1" thickBot="1" x14ac:dyDescent="0.45">
      <c r="D207" s="22" t="s">
        <v>45</v>
      </c>
      <c r="E207" s="20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31"/>
      <c r="AP207" s="39">
        <v>1</v>
      </c>
      <c r="AQ207" s="39"/>
      <c r="AR207" s="39"/>
    </row>
    <row r="208" spans="4:44" ht="19" customHeight="1" thickBot="1" x14ac:dyDescent="0.45">
      <c r="D208" s="22" t="s">
        <v>46</v>
      </c>
      <c r="E208" s="20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31"/>
      <c r="AP208" s="39">
        <v>2</v>
      </c>
      <c r="AQ208" s="39"/>
      <c r="AR208" s="39"/>
    </row>
    <row r="209" spans="4:44" ht="19" customHeight="1" thickBot="1" x14ac:dyDescent="0.45">
      <c r="D209" s="22" t="s">
        <v>47</v>
      </c>
      <c r="E209" s="20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31"/>
      <c r="AP209" s="39">
        <v>2</v>
      </c>
      <c r="AQ209" s="39"/>
      <c r="AR209" s="39"/>
    </row>
    <row r="210" spans="4:44" ht="19" customHeight="1" thickBot="1" x14ac:dyDescent="0.45">
      <c r="D210" s="22" t="s">
        <v>48</v>
      </c>
      <c r="E210" s="20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31"/>
      <c r="AP210" s="39">
        <v>3</v>
      </c>
      <c r="AQ210" s="39"/>
      <c r="AR210" s="39"/>
    </row>
    <row r="211" spans="4:44" ht="19" customHeight="1" thickBot="1" x14ac:dyDescent="0.45">
      <c r="D211" s="22" t="s">
        <v>49</v>
      </c>
      <c r="E211" s="20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31"/>
      <c r="AP211" s="39">
        <v>2</v>
      </c>
      <c r="AQ211" s="39"/>
      <c r="AR211" s="39"/>
    </row>
    <row r="212" spans="4:44" ht="19" customHeight="1" thickBot="1" x14ac:dyDescent="0.45">
      <c r="D212" s="22" t="s">
        <v>50</v>
      </c>
      <c r="E212" s="20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31"/>
      <c r="AP212" s="39">
        <v>1</v>
      </c>
      <c r="AQ212" s="39"/>
      <c r="AR212" s="39"/>
    </row>
    <row r="213" spans="4:44" ht="19" customHeight="1" thickBot="1" x14ac:dyDescent="0.45">
      <c r="D213" s="22" t="s">
        <v>51</v>
      </c>
      <c r="E213" s="20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31"/>
      <c r="AP213" s="39">
        <v>1</v>
      </c>
      <c r="AQ213" s="39"/>
      <c r="AR213" s="39"/>
    </row>
    <row r="214" spans="4:44" ht="19" customHeight="1" thickBot="1" x14ac:dyDescent="0.45">
      <c r="D214" s="22" t="s">
        <v>52</v>
      </c>
      <c r="E214" s="20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31"/>
      <c r="AP214" s="39">
        <v>3</v>
      </c>
      <c r="AQ214" s="39"/>
      <c r="AR214" s="39"/>
    </row>
    <row r="215" spans="4:44" ht="19" customHeight="1" thickBot="1" x14ac:dyDescent="0.45">
      <c r="D215" s="22" t="s">
        <v>53</v>
      </c>
      <c r="E215" s="20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31"/>
      <c r="AP215" s="39">
        <v>2</v>
      </c>
      <c r="AQ215" s="39"/>
      <c r="AR215" s="39"/>
    </row>
    <row r="216" spans="4:44" ht="19" customHeight="1" thickBot="1" x14ac:dyDescent="0.45">
      <c r="D216" s="22" t="s">
        <v>54</v>
      </c>
      <c r="E216" s="20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31"/>
      <c r="AP216" s="39">
        <v>1</v>
      </c>
      <c r="AQ216" s="39"/>
      <c r="AR216" s="39"/>
    </row>
    <row r="217" spans="4:44" ht="19" customHeight="1" thickBot="1" x14ac:dyDescent="0.45">
      <c r="D217" s="22" t="s">
        <v>55</v>
      </c>
      <c r="E217" s="20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31"/>
      <c r="AP217" s="39">
        <v>1</v>
      </c>
      <c r="AQ217" s="39"/>
      <c r="AR217" s="39"/>
    </row>
    <row r="218" spans="4:44" ht="19" customHeight="1" thickBot="1" x14ac:dyDescent="0.45">
      <c r="D218" s="22" t="s">
        <v>56</v>
      </c>
      <c r="E218" s="20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31"/>
      <c r="AP218" s="39">
        <v>2</v>
      </c>
      <c r="AQ218" s="39"/>
      <c r="AR218" s="39"/>
    </row>
    <row r="219" spans="4:44" ht="19" customHeight="1" thickBot="1" x14ac:dyDescent="0.45">
      <c r="D219" s="22" t="s">
        <v>57</v>
      </c>
      <c r="E219" s="20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31"/>
      <c r="AP219" s="39">
        <v>2</v>
      </c>
      <c r="AQ219" s="39"/>
      <c r="AR219" s="39"/>
    </row>
    <row r="220" spans="4:44" ht="19" customHeight="1" x14ac:dyDescent="0.4">
      <c r="D220" s="8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30"/>
      <c r="AQ220" s="30"/>
      <c r="AR220" s="30"/>
    </row>
    <row r="221" spans="4:44" ht="19" customHeight="1" x14ac:dyDescent="0.4">
      <c r="D221" s="8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30"/>
      <c r="AQ221" s="30"/>
      <c r="AR221" s="30"/>
    </row>
    <row r="222" spans="4:44" ht="19" customHeight="1" x14ac:dyDescent="0.4">
      <c r="D222" s="8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30"/>
      <c r="AQ222" s="30"/>
      <c r="AR222" s="30"/>
    </row>
    <row r="223" spans="4:44" ht="19" customHeight="1" x14ac:dyDescent="0.4">
      <c r="D223" s="8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30"/>
      <c r="AQ223" s="30"/>
      <c r="AR223" s="30"/>
    </row>
    <row r="224" spans="4:44" ht="19" customHeight="1" x14ac:dyDescent="0.4">
      <c r="D224" s="8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30"/>
      <c r="AQ224" s="30"/>
      <c r="AR224" s="30"/>
    </row>
    <row r="225" spans="4:44" ht="19" customHeight="1" x14ac:dyDescent="0.4">
      <c r="D225" s="8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30"/>
      <c r="AQ225" s="30"/>
      <c r="AR225" s="30"/>
    </row>
    <row r="226" spans="4:44" ht="19" customHeight="1" x14ac:dyDescent="0.4">
      <c r="D226" s="9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30"/>
      <c r="AQ226" s="30"/>
      <c r="AR226" s="30"/>
    </row>
    <row r="227" spans="4:44" ht="19" customHeight="1" x14ac:dyDescent="0.4">
      <c r="D227" s="9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30"/>
      <c r="AQ227" s="30"/>
      <c r="AR227" s="30"/>
    </row>
    <row r="228" spans="4:44" ht="12" customHeight="1" x14ac:dyDescent="0.4"/>
    <row r="229" spans="4:44" s="10" customFormat="1" ht="19" customHeight="1" x14ac:dyDescent="0.4">
      <c r="D229" s="41">
        <f>DATE(CalendarYear,5,1)</f>
        <v>45778</v>
      </c>
      <c r="E229" s="16" t="str">
        <f>IF(DAY(MaySun1)=1,"",IF(AND(YEAR(MaySun1+1)=CalendarYear,MONTH(MaySun1+1)=5),MaySun1+1,""))</f>
        <v/>
      </c>
      <c r="F229" s="16" t="str">
        <f>IF(DAY(MaySun1)=1,"",IF(AND(YEAR(MaySun1+2)=CalendarYear,MONTH(MaySun1+2)=5),MaySun1+2,""))</f>
        <v/>
      </c>
      <c r="G229" s="16" t="str">
        <f>IF(DAY(MaySun1)=1,"",IF(AND(YEAR(MaySun1+3)=CalendarYear,MONTH(MaySun1+3)=5),MaySun1+3,""))</f>
        <v/>
      </c>
      <c r="H229" s="16" t="str">
        <f>IF(DAY(MaySun1)=1,"",IF(AND(YEAR(MaySun1+4)=CalendarYear,MONTH(MaySun1+4)=5),MaySun1+4,""))</f>
        <v/>
      </c>
      <c r="I229" s="16">
        <f>IF(DAY(MaySun1)=1,"",IF(AND(YEAR(MaySun1+5)=CalendarYear,MONTH(MaySun1+5)=5),MaySun1+5,""))</f>
        <v>45778</v>
      </c>
      <c r="J229" s="16">
        <f>IF(DAY(MaySun1)=1,"",IF(AND(YEAR(MaySun1+6)=CalendarYear,MONTH(MaySun1+6)=5),MaySun1+6,""))</f>
        <v>45779</v>
      </c>
      <c r="K229" s="16">
        <f>IF(DAY(MaySun1)=1,IF(AND(YEAR(MaySun1)=CalendarYear,MONTH(MaySun1)=5),MaySun1,""),IF(AND(YEAR(MaySun1+7)=CalendarYear,MONTH(MaySun1+7)=5),MaySun1+7,""))</f>
        <v>45780</v>
      </c>
      <c r="L229" s="16">
        <f>IF(DAY(MaySun1)=1,IF(AND(YEAR(MaySun1+1)=CalendarYear,MONTH(MaySun1+1)=5),MaySun1+1,""),IF(AND(YEAR(MaySun1+8)=CalendarYear,MONTH(MaySun1+8)=5),MaySun1+8,""))</f>
        <v>45781</v>
      </c>
      <c r="M229" s="16">
        <f>IF(DAY(MaySun1)=1,IF(AND(YEAR(MaySun1+2)=CalendarYear,MONTH(MaySun1+2)=5),MaySun1+2,""),IF(AND(YEAR(MaySun1+9)=CalendarYear,MONTH(MaySun1+9)=5),MaySun1+9,""))</f>
        <v>45782</v>
      </c>
      <c r="N229" s="16">
        <f>IF(DAY(MaySun1)=1,IF(AND(YEAR(MaySun1+3)=CalendarYear,MONTH(MaySun1+3)=5),MaySun1+3,""),IF(AND(YEAR(MaySun1+10)=CalendarYear,MONTH(MaySun1+10)=5),MaySun1+10,""))</f>
        <v>45783</v>
      </c>
      <c r="O229" s="16">
        <f>IF(DAY(MaySun1)=1,IF(AND(YEAR(MaySun1+4)=CalendarYear,MONTH(MaySun1+4)=5),MaySun1+4,""),IF(AND(YEAR(MaySun1+11)=CalendarYear,MONTH(MaySun1+11)=5),MaySun1+11,""))</f>
        <v>45784</v>
      </c>
      <c r="P229" s="16">
        <f>IF(DAY(MaySun1)=1,IF(AND(YEAR(MaySun1+5)=CalendarYear,MONTH(MaySun1+5)=5),MaySun1+5,""),IF(AND(YEAR(MaySun1+12)=CalendarYear,MONTH(MaySun1+12)=5),MaySun1+12,""))</f>
        <v>45785</v>
      </c>
      <c r="Q229" s="16">
        <f>IF(DAY(MaySun1)=1,IF(AND(YEAR(MaySun1+6)=CalendarYear,MONTH(MaySun1+6)=5),MaySun1+6,""),IF(AND(YEAR(MaySun1+13)=CalendarYear,MONTH(MaySun1+13)=5),MaySun1+13,""))</f>
        <v>45786</v>
      </c>
      <c r="R229" s="16">
        <f>IF(DAY(MaySun1)=1,IF(AND(YEAR(MaySun1+7)=CalendarYear,MONTH(MaySun1+7)=5),MaySun1+7,""),IF(AND(YEAR(MaySun1+14)=CalendarYear,MONTH(MaySun1+14)=5),MaySun1+14,""))</f>
        <v>45787</v>
      </c>
      <c r="S229" s="16">
        <f>IF(DAY(MaySun1)=1,IF(AND(YEAR(MaySun1+8)=CalendarYear,MONTH(MaySun1+8)=5),MaySun1+8,""),IF(AND(YEAR(MaySun1+15)=CalendarYear,MONTH(MaySun1+15)=5),MaySun1+15,""))</f>
        <v>45788</v>
      </c>
      <c r="T229" s="16">
        <f>IF(DAY(MaySun1)=1,IF(AND(YEAR(MaySun1+9)=CalendarYear,MONTH(MaySun1+9)=5),MaySun1+9,""),IF(AND(YEAR(MaySun1+16)=CalendarYear,MONTH(MaySun1+16)=5),MaySun1+16,""))</f>
        <v>45789</v>
      </c>
      <c r="U229" s="16">
        <f>IF(DAY(MaySun1)=1,IF(AND(YEAR(MaySun1+10)=CalendarYear,MONTH(MaySun1+10)=5),MaySun1+10,""),IF(AND(YEAR(MaySun1+17)=CalendarYear,MONTH(MaySun1+17)=5),MaySun1+17,""))</f>
        <v>45790</v>
      </c>
      <c r="V229" s="16">
        <f>IF(DAY(MaySun1)=1,IF(AND(YEAR(MaySun1+11)=CalendarYear,MONTH(MaySun1+11)=5),MaySun1+11,""),IF(AND(YEAR(MaySun1+18)=CalendarYear,MONTH(MaySun1+18)=5),MaySun1+18,""))</f>
        <v>45791</v>
      </c>
      <c r="W229" s="16">
        <f>IF(DAY(MaySun1)=1,IF(AND(YEAR(MaySun1+12)=CalendarYear,MONTH(MaySun1+12)=5),MaySun1+12,""),IF(AND(YEAR(MaySun1+19)=CalendarYear,MONTH(MaySun1+19)=5),MaySun1+19,""))</f>
        <v>45792</v>
      </c>
      <c r="X229" s="16">
        <f>IF(DAY(MaySun1)=1,IF(AND(YEAR(MaySun1+13)=CalendarYear,MONTH(MaySun1+13)=5),MaySun1+13,""),IF(AND(YEAR(MaySun1+20)=CalendarYear,MONTH(MaySun1+20)=5),MaySun1+20,""))</f>
        <v>45793</v>
      </c>
      <c r="Y229" s="16">
        <f>IF(DAY(MaySun1)=1,IF(AND(YEAR(MaySun1+14)=CalendarYear,MONTH(MaySun1+14)=5),MaySun1+14,""),IF(AND(YEAR(MaySun1+21)=CalendarYear,MONTH(MaySun1+21)=5),MaySun1+21,""))</f>
        <v>45794</v>
      </c>
      <c r="Z229" s="16">
        <f>IF(DAY(MaySun1)=1,IF(AND(YEAR(MaySun1+15)=CalendarYear,MONTH(MaySun1+15)=5),MaySun1+15,""),IF(AND(YEAR(MaySun1+22)=CalendarYear,MONTH(MaySun1+22)=5),MaySun1+22,""))</f>
        <v>45795</v>
      </c>
      <c r="AA229" s="16">
        <f>IF(DAY(MaySun1)=1,IF(AND(YEAR(MaySun1+16)=CalendarYear,MONTH(MaySun1+16)=5),MaySun1+16,""),IF(AND(YEAR(MaySun1+23)=CalendarYear,MONTH(MaySun1+23)=5),MaySun1+23,""))</f>
        <v>45796</v>
      </c>
      <c r="AB229" s="16">
        <f>IF(DAY(MaySun1)=1,IF(AND(YEAR(MaySun1+17)=CalendarYear,MONTH(MaySun1+17)=5),MaySun1+17,""),IF(AND(YEAR(MaySun1+24)=CalendarYear,MONTH(MaySun1+24)=5),MaySun1+24,""))</f>
        <v>45797</v>
      </c>
      <c r="AC229" s="16">
        <f>IF(DAY(MaySun1)=1,IF(AND(YEAR(MaySun1+18)=CalendarYear,MONTH(MaySun1+18)=5),MaySun1+18,""),IF(AND(YEAR(MaySun1+25)=CalendarYear,MONTH(MaySun1+25)=5),MaySun1+25,""))</f>
        <v>45798</v>
      </c>
      <c r="AD229" s="16">
        <f>IF(DAY(MaySun1)=1,IF(AND(YEAR(MaySun1+19)=CalendarYear,MONTH(MaySun1+19)=5),MaySun1+19,""),IF(AND(YEAR(MaySun1+26)=CalendarYear,MONTH(MaySun1+26)=5),MaySun1+26,""))</f>
        <v>45799</v>
      </c>
      <c r="AE229" s="16">
        <f>IF(DAY(MaySun1)=1,IF(AND(YEAR(MaySun1+20)=CalendarYear,MONTH(MaySun1+20)=5),MaySun1+20,""),IF(AND(YEAR(MaySun1+27)=CalendarYear,MONTH(MaySun1+27)=5),MaySun1+27,""))</f>
        <v>45800</v>
      </c>
      <c r="AF229" s="16">
        <f>IF(DAY(MaySun1)=1,IF(AND(YEAR(MaySun1+21)=CalendarYear,MONTH(MaySun1+21)=5),MaySun1+21,""),IF(AND(YEAR(MaySun1+28)=CalendarYear,MONTH(MaySun1+28)=5),MaySun1+28,""))</f>
        <v>45801</v>
      </c>
      <c r="AG229" s="16">
        <f>IF(DAY(MaySun1)=1,IF(AND(YEAR(MaySun1+22)=CalendarYear,MONTH(MaySun1+22)=5),MaySun1+22,""),IF(AND(YEAR(MaySun1+29)=CalendarYear,MONTH(MaySun1+29)=5),MaySun1+29,""))</f>
        <v>45802</v>
      </c>
      <c r="AH229" s="16">
        <f>IF(DAY(MaySun1)=1,IF(AND(YEAR(MaySun1+23)=CalendarYear,MONTH(MaySun1+23)=5),MaySun1+23,""),IF(AND(YEAR(MaySun1+30)=CalendarYear,MONTH(MaySun1+30)=5),MaySun1+30,""))</f>
        <v>45803</v>
      </c>
      <c r="AI229" s="16">
        <f>IF(DAY(MaySun1)=1,IF(AND(YEAR(MaySun1+24)=CalendarYear,MONTH(MaySun1+24)=5),MaySun1+24,""),IF(AND(YEAR(MaySun1+31)=CalendarYear,MONTH(MaySun1+31)=5),MaySun1+31,""))</f>
        <v>45804</v>
      </c>
      <c r="AJ229" s="16">
        <f>IF(DAY(MaySun1)=1,IF(AND(YEAR(MaySun1+25)=CalendarYear,MONTH(MaySun1+25)=5),MaySun1+25,""),IF(AND(YEAR(MaySun1+32)=CalendarYear,MONTH(MaySun1+32)=5),MaySun1+32,""))</f>
        <v>45805</v>
      </c>
      <c r="AK229" s="16">
        <f>IF(DAY(MaySun1)=1,IF(AND(YEAR(MaySun1+26)=CalendarYear,MONTH(MaySun1+26)=5),MaySun1+26,""),IF(AND(YEAR(MaySun1+33)=CalendarYear,MONTH(MaySun1+33)=5),MaySun1+33,""))</f>
        <v>45806</v>
      </c>
      <c r="AL229" s="16">
        <f>IF(DAY(MaySun1)=1,IF(AND(YEAR(MaySun1+27)=CalendarYear,MONTH(MaySun1+27)=5),MaySun1+27,""),IF(AND(YEAR(MaySun1+34)=CalendarYear,MONTH(MaySun1+34)=5),MaySun1+34,""))</f>
        <v>45807</v>
      </c>
      <c r="AM229" s="16">
        <f>IF(DAY(MaySun1)=1,IF(AND(YEAR(MaySun1+28)=CalendarYear,MONTH(MaySun1+28)=5),MaySun1+28,""),IF(AND(YEAR(MaySun1+35)=CalendarYear,MONTH(MaySun1+35)=5),MaySun1+35,""))</f>
        <v>45808</v>
      </c>
      <c r="AN229" s="16" t="str">
        <f>IF(DAY(MaySun1)=1,IF(AND(YEAR(MaySun1+29)=CalendarYear,MONTH(MaySun1+29)=5),MaySun1+29,""),IF(AND(YEAR(MaySun1+36)=CalendarYear,MONTH(MaySun1+36)=5),MaySun1+36,""))</f>
        <v/>
      </c>
      <c r="AO229" s="17" t="str">
        <f>IF(DAY(MaySun1)=1,IF(AND(YEAR(MaySun1+30)=CalendarYear,MONTH(MaySun1+30)=5),MaySun1+30,""),IF(AND(YEAR(MaySun1+37)=CalendarYear,MONTH(MaySun1+37)=5),MaySun1+37,""))</f>
        <v/>
      </c>
      <c r="AP229" s="29"/>
      <c r="AQ229" s="29"/>
      <c r="AR229" s="29"/>
    </row>
    <row r="230" spans="4:44" s="10" customFormat="1" ht="19" customHeight="1" thickBot="1" x14ac:dyDescent="0.45">
      <c r="D230" s="43"/>
      <c r="E230" s="18" t="s">
        <v>2</v>
      </c>
      <c r="F230" s="18" t="s">
        <v>3</v>
      </c>
      <c r="G230" s="18" t="s">
        <v>4</v>
      </c>
      <c r="H230" s="18" t="s">
        <v>5</v>
      </c>
      <c r="I230" s="18" t="s">
        <v>6</v>
      </c>
      <c r="J230" s="18" t="s">
        <v>7</v>
      </c>
      <c r="K230" s="18" t="s">
        <v>8</v>
      </c>
      <c r="L230" s="18" t="s">
        <v>2</v>
      </c>
      <c r="M230" s="18" t="s">
        <v>3</v>
      </c>
      <c r="N230" s="18" t="s">
        <v>4</v>
      </c>
      <c r="O230" s="18" t="s">
        <v>5</v>
      </c>
      <c r="P230" s="18" t="s">
        <v>6</v>
      </c>
      <c r="Q230" s="18" t="s">
        <v>7</v>
      </c>
      <c r="R230" s="18" t="s">
        <v>8</v>
      </c>
      <c r="S230" s="18" t="s">
        <v>2</v>
      </c>
      <c r="T230" s="18" t="s">
        <v>3</v>
      </c>
      <c r="U230" s="18" t="s">
        <v>4</v>
      </c>
      <c r="V230" s="18" t="s">
        <v>5</v>
      </c>
      <c r="W230" s="18" t="s">
        <v>6</v>
      </c>
      <c r="X230" s="18" t="s">
        <v>7</v>
      </c>
      <c r="Y230" s="18" t="s">
        <v>8</v>
      </c>
      <c r="Z230" s="18" t="s">
        <v>2</v>
      </c>
      <c r="AA230" s="18" t="s">
        <v>3</v>
      </c>
      <c r="AB230" s="18" t="s">
        <v>4</v>
      </c>
      <c r="AC230" s="18" t="s">
        <v>5</v>
      </c>
      <c r="AD230" s="18" t="s">
        <v>6</v>
      </c>
      <c r="AE230" s="18" t="s">
        <v>7</v>
      </c>
      <c r="AF230" s="18" t="s">
        <v>8</v>
      </c>
      <c r="AG230" s="18" t="s">
        <v>2</v>
      </c>
      <c r="AH230" s="18" t="s">
        <v>3</v>
      </c>
      <c r="AI230" s="18" t="s">
        <v>4</v>
      </c>
      <c r="AJ230" s="18" t="s">
        <v>5</v>
      </c>
      <c r="AK230" s="18" t="s">
        <v>6</v>
      </c>
      <c r="AL230" s="18" t="s">
        <v>7</v>
      </c>
      <c r="AM230" s="18" t="s">
        <v>8</v>
      </c>
      <c r="AN230" s="18" t="s">
        <v>2</v>
      </c>
      <c r="AO230" s="19" t="s">
        <v>3</v>
      </c>
      <c r="AP230" s="23"/>
      <c r="AQ230" s="23"/>
      <c r="AR230" s="23"/>
    </row>
    <row r="231" spans="4:44" ht="19" customHeight="1" thickBot="1" x14ac:dyDescent="0.45">
      <c r="D231" s="21" t="s">
        <v>10</v>
      </c>
      <c r="E231" s="20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31"/>
      <c r="AP231" s="39">
        <v>2</v>
      </c>
      <c r="AQ231" s="39"/>
      <c r="AR231" s="39"/>
    </row>
    <row r="232" spans="4:44" ht="19" customHeight="1" thickBot="1" x14ac:dyDescent="0.45">
      <c r="D232" s="22" t="s">
        <v>11</v>
      </c>
      <c r="E232" s="20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31"/>
      <c r="AP232" s="39">
        <v>32</v>
      </c>
      <c r="AQ232" s="39"/>
      <c r="AR232" s="39"/>
    </row>
    <row r="233" spans="4:44" ht="19" customHeight="1" thickBot="1" x14ac:dyDescent="0.45">
      <c r="D233" s="22" t="s">
        <v>12</v>
      </c>
      <c r="E233" s="20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31"/>
      <c r="AP233" s="39">
        <v>61</v>
      </c>
      <c r="AQ233" s="39"/>
      <c r="AR233" s="39"/>
    </row>
    <row r="234" spans="4:44" ht="19" customHeight="1" thickBot="1" x14ac:dyDescent="0.45">
      <c r="D234" s="22" t="s">
        <v>13</v>
      </c>
      <c r="E234" s="20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31"/>
      <c r="AP234" s="39">
        <v>7</v>
      </c>
      <c r="AQ234" s="39"/>
      <c r="AR234" s="39"/>
    </row>
    <row r="235" spans="4:44" ht="19" customHeight="1" thickBot="1" x14ac:dyDescent="0.45">
      <c r="D235" s="22" t="s">
        <v>14</v>
      </c>
      <c r="E235" s="20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31"/>
      <c r="AP235" s="39">
        <v>7</v>
      </c>
      <c r="AQ235" s="39"/>
      <c r="AR235" s="39"/>
    </row>
    <row r="236" spans="4:44" ht="19" customHeight="1" thickBot="1" x14ac:dyDescent="0.45">
      <c r="D236" s="22" t="s">
        <v>15</v>
      </c>
      <c r="E236" s="20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31"/>
      <c r="AP236" s="39">
        <v>10</v>
      </c>
      <c r="AQ236" s="39"/>
      <c r="AR236" s="39"/>
    </row>
    <row r="237" spans="4:44" ht="19" customHeight="1" thickBot="1" x14ac:dyDescent="0.45">
      <c r="D237" s="22" t="s">
        <v>16</v>
      </c>
      <c r="E237" s="20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31"/>
      <c r="AP237" s="39">
        <v>2</v>
      </c>
      <c r="AQ237" s="39"/>
      <c r="AR237" s="39"/>
    </row>
    <row r="238" spans="4:44" ht="19" customHeight="1" thickBot="1" x14ac:dyDescent="0.45">
      <c r="D238" s="22" t="s">
        <v>17</v>
      </c>
      <c r="E238" s="20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31"/>
      <c r="AP238" s="39">
        <v>4</v>
      </c>
      <c r="AQ238" s="39"/>
      <c r="AR238" s="39"/>
    </row>
    <row r="239" spans="4:44" ht="19" customHeight="1" thickBot="1" x14ac:dyDescent="0.45">
      <c r="D239" s="22" t="s">
        <v>18</v>
      </c>
      <c r="E239" s="20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31"/>
      <c r="AP239" s="39">
        <v>2</v>
      </c>
      <c r="AQ239" s="39"/>
      <c r="AR239" s="39"/>
    </row>
    <row r="240" spans="4:44" ht="19" customHeight="1" thickBot="1" x14ac:dyDescent="0.45">
      <c r="D240" s="22" t="s">
        <v>19</v>
      </c>
      <c r="E240" s="20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31"/>
      <c r="AP240" s="39">
        <v>6</v>
      </c>
      <c r="AQ240" s="39"/>
      <c r="AR240" s="39"/>
    </row>
    <row r="241" spans="4:44" ht="19" customHeight="1" thickBot="1" x14ac:dyDescent="0.45">
      <c r="D241" s="22" t="s">
        <v>20</v>
      </c>
      <c r="E241" s="20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31"/>
      <c r="AP241" s="39">
        <v>13</v>
      </c>
      <c r="AQ241" s="39"/>
      <c r="AR241" s="39"/>
    </row>
    <row r="242" spans="4:44" ht="19" customHeight="1" thickBot="1" x14ac:dyDescent="0.45">
      <c r="D242" s="22" t="s">
        <v>21</v>
      </c>
      <c r="E242" s="20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31"/>
      <c r="AP242" s="39">
        <v>1</v>
      </c>
      <c r="AQ242" s="39"/>
      <c r="AR242" s="39"/>
    </row>
    <row r="243" spans="4:44" ht="19" customHeight="1" thickBot="1" x14ac:dyDescent="0.45">
      <c r="D243" s="22" t="s">
        <v>22</v>
      </c>
      <c r="E243" s="20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31"/>
      <c r="AP243" s="39">
        <v>6</v>
      </c>
      <c r="AQ243" s="39"/>
      <c r="AR243" s="39"/>
    </row>
    <row r="244" spans="4:44" ht="19" customHeight="1" thickBot="1" x14ac:dyDescent="0.45"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</row>
    <row r="245" spans="4:44" ht="19" customHeight="1" thickBot="1" x14ac:dyDescent="0.45">
      <c r="D245" s="21" t="s">
        <v>23</v>
      </c>
      <c r="E245" s="20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31"/>
      <c r="AP245" s="39" t="s">
        <v>24</v>
      </c>
      <c r="AQ245" s="39"/>
      <c r="AR245" s="39"/>
    </row>
    <row r="246" spans="4:44" ht="19" customHeight="1" thickBot="1" x14ac:dyDescent="0.45">
      <c r="D246" s="22" t="s">
        <v>25</v>
      </c>
      <c r="E246" s="20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31"/>
      <c r="AP246" s="39" t="s">
        <v>26</v>
      </c>
      <c r="AQ246" s="39"/>
      <c r="AR246" s="39"/>
    </row>
    <row r="247" spans="4:44" ht="19" customHeight="1" thickBot="1" x14ac:dyDescent="0.45">
      <c r="D247" s="22" t="s">
        <v>27</v>
      </c>
      <c r="E247" s="20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31"/>
      <c r="AP247" s="39" t="s">
        <v>28</v>
      </c>
      <c r="AQ247" s="39"/>
      <c r="AR247" s="39"/>
    </row>
    <row r="248" spans="4:44" ht="19" customHeight="1" thickBot="1" x14ac:dyDescent="0.45">
      <c r="D248" s="22" t="s">
        <v>29</v>
      </c>
      <c r="E248" s="20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31"/>
      <c r="AP248" s="39">
        <v>34</v>
      </c>
      <c r="AQ248" s="39"/>
      <c r="AR248" s="39"/>
    </row>
    <row r="249" spans="4:44" ht="19" customHeight="1" thickBot="1" x14ac:dyDescent="0.45">
      <c r="D249" s="22" t="s">
        <v>30</v>
      </c>
      <c r="E249" s="20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31"/>
      <c r="AP249" s="39">
        <v>13</v>
      </c>
      <c r="AQ249" s="39"/>
      <c r="AR249" s="39"/>
    </row>
    <row r="250" spans="4:44" ht="19" customHeight="1" thickBot="1" x14ac:dyDescent="0.45">
      <c r="D250" s="22" t="s">
        <v>31</v>
      </c>
      <c r="E250" s="20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31"/>
      <c r="AP250" s="39">
        <v>16</v>
      </c>
      <c r="AQ250" s="39"/>
      <c r="AR250" s="39"/>
    </row>
    <row r="251" spans="4:44" ht="19" customHeight="1" thickBot="1" x14ac:dyDescent="0.45">
      <c r="D251" s="22" t="s">
        <v>32</v>
      </c>
      <c r="E251" s="20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31"/>
      <c r="AP251" s="39">
        <v>15</v>
      </c>
      <c r="AQ251" s="39"/>
      <c r="AR251" s="39"/>
    </row>
    <row r="252" spans="4:44" ht="19" customHeight="1" thickBot="1" x14ac:dyDescent="0.45"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32"/>
      <c r="AP252" s="26"/>
      <c r="AQ252" s="26"/>
      <c r="AR252" s="26"/>
    </row>
    <row r="253" spans="4:44" ht="19" customHeight="1" thickBot="1" x14ac:dyDescent="0.45">
      <c r="D253" s="21" t="s">
        <v>33</v>
      </c>
      <c r="E253" s="20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31"/>
      <c r="AP253" s="39">
        <v>3</v>
      </c>
      <c r="AQ253" s="39"/>
      <c r="AR253" s="39"/>
    </row>
    <row r="254" spans="4:44" ht="19" customHeight="1" thickBot="1" x14ac:dyDescent="0.45">
      <c r="D254" s="22" t="s">
        <v>34</v>
      </c>
      <c r="E254" s="20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31"/>
      <c r="AP254" s="39">
        <v>7</v>
      </c>
      <c r="AQ254" s="39"/>
      <c r="AR254" s="39"/>
    </row>
    <row r="255" spans="4:44" ht="19" customHeight="1" thickBot="1" x14ac:dyDescent="0.45">
      <c r="D255" s="22" t="s">
        <v>35</v>
      </c>
      <c r="E255" s="20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31"/>
      <c r="AP255" s="39">
        <v>2</v>
      </c>
      <c r="AQ255" s="39"/>
      <c r="AR255" s="39"/>
    </row>
    <row r="256" spans="4:44" ht="19" customHeight="1" thickBot="1" x14ac:dyDescent="0.45">
      <c r="D256" s="22" t="s">
        <v>36</v>
      </c>
      <c r="E256" s="20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31"/>
      <c r="AP256" s="39">
        <v>4</v>
      </c>
      <c r="AQ256" s="39"/>
      <c r="AR256" s="39"/>
    </row>
    <row r="257" spans="4:44" ht="19" customHeight="1" thickBot="1" x14ac:dyDescent="0.45">
      <c r="D257" s="22" t="s">
        <v>37</v>
      </c>
      <c r="E257" s="20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31"/>
      <c r="AP257" s="39">
        <v>2</v>
      </c>
      <c r="AQ257" s="39"/>
      <c r="AR257" s="39"/>
    </row>
    <row r="258" spans="4:44" ht="19" customHeight="1" thickBot="1" x14ac:dyDescent="0.45">
      <c r="D258" s="22" t="s">
        <v>38</v>
      </c>
      <c r="E258" s="20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31"/>
      <c r="AP258" s="39">
        <v>8</v>
      </c>
      <c r="AQ258" s="39"/>
      <c r="AR258" s="39"/>
    </row>
    <row r="259" spans="4:44" ht="19" customHeight="1" thickBot="1" x14ac:dyDescent="0.45"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33"/>
      <c r="AP259" s="34"/>
      <c r="AQ259" s="34"/>
      <c r="AR259" s="34"/>
    </row>
    <row r="260" spans="4:44" ht="19" customHeight="1" thickBot="1" x14ac:dyDescent="0.45">
      <c r="D260" s="21" t="s">
        <v>39</v>
      </c>
      <c r="E260" s="20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31"/>
      <c r="AP260" s="39">
        <v>3</v>
      </c>
      <c r="AQ260" s="39"/>
      <c r="AR260" s="39"/>
    </row>
    <row r="261" spans="4:44" ht="19" customHeight="1" thickBot="1" x14ac:dyDescent="0.45">
      <c r="D261" s="22" t="s">
        <v>40</v>
      </c>
      <c r="E261" s="20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31"/>
      <c r="AP261" s="39">
        <v>3</v>
      </c>
      <c r="AQ261" s="39"/>
      <c r="AR261" s="39"/>
    </row>
    <row r="262" spans="4:44" ht="19" customHeight="1" thickBot="1" x14ac:dyDescent="0.45">
      <c r="D262" s="22" t="s">
        <v>41</v>
      </c>
      <c r="E262" s="20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31"/>
      <c r="AP262" s="39">
        <v>2</v>
      </c>
      <c r="AQ262" s="39"/>
      <c r="AR262" s="39"/>
    </row>
    <row r="263" spans="4:44" ht="19" customHeight="1" thickBot="1" x14ac:dyDescent="0.45">
      <c r="D263" s="22" t="s">
        <v>42</v>
      </c>
      <c r="E263" s="20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31"/>
      <c r="AP263" s="39">
        <v>2</v>
      </c>
      <c r="AQ263" s="39"/>
      <c r="AR263" s="39"/>
    </row>
    <row r="264" spans="4:44" ht="19" customHeight="1" thickBot="1" x14ac:dyDescent="0.45"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32"/>
      <c r="AP264" s="26"/>
      <c r="AQ264" s="26"/>
      <c r="AR264" s="26"/>
    </row>
    <row r="265" spans="4:44" ht="19" customHeight="1" thickBot="1" x14ac:dyDescent="0.45">
      <c r="D265" s="21" t="s">
        <v>43</v>
      </c>
      <c r="E265" s="20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31"/>
      <c r="AP265" s="39">
        <v>2</v>
      </c>
      <c r="AQ265" s="39"/>
      <c r="AR265" s="39"/>
    </row>
    <row r="266" spans="4:44" ht="19" customHeight="1" thickBot="1" x14ac:dyDescent="0.45">
      <c r="D266" s="22" t="s">
        <v>44</v>
      </c>
      <c r="E266" s="20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31"/>
      <c r="AP266" s="39">
        <v>2</v>
      </c>
      <c r="AQ266" s="39"/>
      <c r="AR266" s="39"/>
    </row>
    <row r="267" spans="4:44" ht="19" customHeight="1" thickBot="1" x14ac:dyDescent="0.45">
      <c r="D267" s="22" t="s">
        <v>45</v>
      </c>
      <c r="E267" s="20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31"/>
      <c r="AP267" s="39">
        <v>1</v>
      </c>
      <c r="AQ267" s="39"/>
      <c r="AR267" s="39"/>
    </row>
    <row r="268" spans="4:44" ht="19" customHeight="1" thickBot="1" x14ac:dyDescent="0.45">
      <c r="D268" s="22" t="s">
        <v>46</v>
      </c>
      <c r="E268" s="20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31"/>
      <c r="AP268" s="39">
        <v>2</v>
      </c>
      <c r="AQ268" s="39"/>
      <c r="AR268" s="39"/>
    </row>
    <row r="269" spans="4:44" ht="19" customHeight="1" thickBot="1" x14ac:dyDescent="0.45">
      <c r="D269" s="22" t="s">
        <v>47</v>
      </c>
      <c r="E269" s="20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31"/>
      <c r="AP269" s="39">
        <v>2</v>
      </c>
      <c r="AQ269" s="39"/>
      <c r="AR269" s="39"/>
    </row>
    <row r="270" spans="4:44" ht="19" customHeight="1" thickBot="1" x14ac:dyDescent="0.45">
      <c r="D270" s="22" t="s">
        <v>48</v>
      </c>
      <c r="E270" s="20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31"/>
      <c r="AP270" s="39">
        <v>3</v>
      </c>
      <c r="AQ270" s="39"/>
      <c r="AR270" s="39"/>
    </row>
    <row r="271" spans="4:44" ht="19" customHeight="1" thickBot="1" x14ac:dyDescent="0.45">
      <c r="D271" s="22" t="s">
        <v>49</v>
      </c>
      <c r="E271" s="20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31"/>
      <c r="AP271" s="39">
        <v>2</v>
      </c>
      <c r="AQ271" s="39"/>
      <c r="AR271" s="39"/>
    </row>
    <row r="272" spans="4:44" ht="19" customHeight="1" thickBot="1" x14ac:dyDescent="0.45">
      <c r="D272" s="22" t="s">
        <v>50</v>
      </c>
      <c r="E272" s="20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31"/>
      <c r="AP272" s="39">
        <v>1</v>
      </c>
      <c r="AQ272" s="39"/>
      <c r="AR272" s="39"/>
    </row>
    <row r="273" spans="4:44" ht="19" customHeight="1" thickBot="1" x14ac:dyDescent="0.45">
      <c r="D273" s="22" t="s">
        <v>51</v>
      </c>
      <c r="E273" s="20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31"/>
      <c r="AP273" s="39">
        <v>1</v>
      </c>
      <c r="AQ273" s="39"/>
      <c r="AR273" s="39"/>
    </row>
    <row r="274" spans="4:44" ht="19" customHeight="1" thickBot="1" x14ac:dyDescent="0.45">
      <c r="D274" s="22" t="s">
        <v>52</v>
      </c>
      <c r="E274" s="20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31"/>
      <c r="AP274" s="39">
        <v>3</v>
      </c>
      <c r="AQ274" s="39"/>
      <c r="AR274" s="39"/>
    </row>
    <row r="275" spans="4:44" ht="19" customHeight="1" thickBot="1" x14ac:dyDescent="0.45">
      <c r="D275" s="22" t="s">
        <v>53</v>
      </c>
      <c r="E275" s="20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31"/>
      <c r="AP275" s="39">
        <v>2</v>
      </c>
      <c r="AQ275" s="39"/>
      <c r="AR275" s="39"/>
    </row>
    <row r="276" spans="4:44" ht="19" customHeight="1" thickBot="1" x14ac:dyDescent="0.45">
      <c r="D276" s="22" t="s">
        <v>54</v>
      </c>
      <c r="E276" s="20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31"/>
      <c r="AP276" s="39">
        <v>1</v>
      </c>
      <c r="AQ276" s="39"/>
      <c r="AR276" s="39"/>
    </row>
    <row r="277" spans="4:44" ht="19" customHeight="1" thickBot="1" x14ac:dyDescent="0.45">
      <c r="D277" s="22" t="s">
        <v>55</v>
      </c>
      <c r="E277" s="20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31"/>
      <c r="AP277" s="39">
        <v>1</v>
      </c>
      <c r="AQ277" s="39"/>
      <c r="AR277" s="39"/>
    </row>
    <row r="278" spans="4:44" ht="19" customHeight="1" thickBot="1" x14ac:dyDescent="0.45">
      <c r="D278" s="22" t="s">
        <v>56</v>
      </c>
      <c r="E278" s="20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31"/>
      <c r="AP278" s="39">
        <v>2</v>
      </c>
      <c r="AQ278" s="39"/>
      <c r="AR278" s="39"/>
    </row>
    <row r="279" spans="4:44" ht="19" customHeight="1" thickBot="1" x14ac:dyDescent="0.45">
      <c r="D279" s="22" t="s">
        <v>57</v>
      </c>
      <c r="E279" s="20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31"/>
      <c r="AP279" s="39">
        <v>2</v>
      </c>
      <c r="AQ279" s="39"/>
      <c r="AR279" s="39"/>
    </row>
    <row r="280" spans="4:44" ht="19" customHeight="1" x14ac:dyDescent="0.4">
      <c r="D280" s="8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30"/>
      <c r="AQ280" s="30"/>
      <c r="AR280" s="30"/>
    </row>
    <row r="281" spans="4:44" ht="19" customHeight="1" x14ac:dyDescent="0.4">
      <c r="D281" s="8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30"/>
      <c r="AQ281" s="30"/>
      <c r="AR281" s="30"/>
    </row>
    <row r="282" spans="4:44" ht="19" customHeight="1" x14ac:dyDescent="0.4">
      <c r="D282" s="8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30"/>
      <c r="AQ282" s="30"/>
      <c r="AR282" s="30"/>
    </row>
    <row r="283" spans="4:44" ht="19" customHeight="1" x14ac:dyDescent="0.4">
      <c r="D283" s="8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30"/>
      <c r="AQ283" s="30"/>
      <c r="AR283" s="30"/>
    </row>
    <row r="284" spans="4:44" ht="19" customHeight="1" x14ac:dyDescent="0.4">
      <c r="D284" s="8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30"/>
      <c r="AQ284" s="30"/>
      <c r="AR284" s="30"/>
    </row>
    <row r="285" spans="4:44" ht="19" customHeight="1" x14ac:dyDescent="0.4">
      <c r="D285" s="8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30"/>
      <c r="AQ285" s="30"/>
      <c r="AR285" s="30"/>
    </row>
    <row r="286" spans="4:44" ht="19" customHeight="1" x14ac:dyDescent="0.4">
      <c r="D286" s="9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30"/>
      <c r="AQ286" s="30"/>
      <c r="AR286" s="30"/>
    </row>
    <row r="287" spans="4:44" ht="19" customHeight="1" x14ac:dyDescent="0.4">
      <c r="D287" s="9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30"/>
      <c r="AQ287" s="30"/>
      <c r="AR287" s="30"/>
    </row>
    <row r="288" spans="4:44" ht="12" customHeight="1" x14ac:dyDescent="0.4"/>
    <row r="289" spans="4:44" s="10" customFormat="1" ht="19" customHeight="1" x14ac:dyDescent="0.4">
      <c r="D289" s="41">
        <f>DATE(CalendarYear,6,1)</f>
        <v>45809</v>
      </c>
      <c r="E289" s="16">
        <f>IF(DAY(JunSun1)=1,"",IF(AND(YEAR(JunSun1+1)=CalendarYear,MONTH(JunSun1+1)=6),JunSun1+1,""))</f>
        <v>45809</v>
      </c>
      <c r="F289" s="16">
        <f>IF(DAY(JunSun1)=1,"",IF(AND(YEAR(JunSun1+2)=CalendarYear,MONTH(JunSun1+2)=6),JunSun1+2,""))</f>
        <v>45810</v>
      </c>
      <c r="G289" s="16">
        <f>IF(DAY(JunSun1)=1,"",IF(AND(YEAR(JunSun1+3)=CalendarYear,MONTH(JunSun1+3)=6),JunSun1+3,""))</f>
        <v>45811</v>
      </c>
      <c r="H289" s="16">
        <f>IF(DAY(JunSun1)=1,"",IF(AND(YEAR(JunSun1+4)=CalendarYear,MONTH(JunSun1+4)=6),JunSun1+4,""))</f>
        <v>45812</v>
      </c>
      <c r="I289" s="16">
        <f>IF(DAY(JunSun1)=1,"",IF(AND(YEAR(JunSun1+5)=CalendarYear,MONTH(JunSun1+5)=6),JunSun1+5,""))</f>
        <v>45813</v>
      </c>
      <c r="J289" s="16">
        <f>IF(DAY(JunSun1)=1,"",IF(AND(YEAR(JunSun1+6)=CalendarYear,MONTH(JunSun1+6)=6),JunSun1+6,""))</f>
        <v>45814</v>
      </c>
      <c r="K289" s="16">
        <f>IF(DAY(JunSun1)=1,IF(AND(YEAR(JunSun1)=CalendarYear,MONTH(JunSun1)=6),JunSun1,""),IF(AND(YEAR(JunSun1+7)=CalendarYear,MONTH(JunSun1+7)=6),JunSun1+7,""))</f>
        <v>45815</v>
      </c>
      <c r="L289" s="16">
        <f>IF(DAY(JunSun1)=1,IF(AND(YEAR(JunSun1+1)=CalendarYear,MONTH(JunSun1+1)=6),JunSun1+1,""),IF(AND(YEAR(JunSun1+8)=CalendarYear,MONTH(JunSun1+8)=6),JunSun1+8,""))</f>
        <v>45816</v>
      </c>
      <c r="M289" s="16">
        <f>IF(DAY(JunSun1)=1,IF(AND(YEAR(JunSun1+2)=CalendarYear,MONTH(JunSun1+2)=6),JunSun1+2,""),IF(AND(YEAR(JunSun1+9)=CalendarYear,MONTH(JunSun1+9)=6),JunSun1+9,""))</f>
        <v>45817</v>
      </c>
      <c r="N289" s="16">
        <f>IF(DAY(JunSun1)=1,IF(AND(YEAR(JunSun1+3)=CalendarYear,MONTH(JunSun1+3)=6),JunSun1+3,""),IF(AND(YEAR(JunSun1+10)=CalendarYear,MONTH(JunSun1+10)=6),JunSun1+10,""))</f>
        <v>45818</v>
      </c>
      <c r="O289" s="16">
        <f>IF(DAY(JunSun1)=1,IF(AND(YEAR(JunSun1+4)=CalendarYear,MONTH(JunSun1+4)=6),JunSun1+4,""),IF(AND(YEAR(JunSun1+11)=CalendarYear,MONTH(JunSun1+11)=6),JunSun1+11,""))</f>
        <v>45819</v>
      </c>
      <c r="P289" s="16">
        <f>IF(DAY(JunSun1)=1,IF(AND(YEAR(JunSun1+5)=CalendarYear,MONTH(JunSun1+5)=6),JunSun1+5,""),IF(AND(YEAR(JunSun1+12)=CalendarYear,MONTH(JunSun1+12)=6),JunSun1+12,""))</f>
        <v>45820</v>
      </c>
      <c r="Q289" s="16">
        <f>IF(DAY(JunSun1)=1,IF(AND(YEAR(JunSun1+6)=CalendarYear,MONTH(JunSun1+6)=6),JunSun1+6,""),IF(AND(YEAR(JunSun1+13)=CalendarYear,MONTH(JunSun1+13)=6),JunSun1+13,""))</f>
        <v>45821</v>
      </c>
      <c r="R289" s="16">
        <f>IF(DAY(JunSun1)=1,IF(AND(YEAR(JunSun1+7)=CalendarYear,MONTH(JunSun1+7)=6),JunSun1+7,""),IF(AND(YEAR(JunSun1+14)=CalendarYear,MONTH(JunSun1+14)=6),JunSun1+14,""))</f>
        <v>45822</v>
      </c>
      <c r="S289" s="16">
        <f>IF(DAY(JunSun1)=1,IF(AND(YEAR(JunSun1+8)=CalendarYear,MONTH(JunSun1+8)=6),JunSun1+8,""),IF(AND(YEAR(JunSun1+15)=CalendarYear,MONTH(JunSun1+15)=6),JunSun1+15,""))</f>
        <v>45823</v>
      </c>
      <c r="T289" s="16">
        <f>IF(DAY(JunSun1)=1,IF(AND(YEAR(JunSun1+9)=CalendarYear,MONTH(JunSun1+9)=6),JunSun1+9,""),IF(AND(YEAR(JunSun1+16)=CalendarYear,MONTH(JunSun1+16)=6),JunSun1+16,""))</f>
        <v>45824</v>
      </c>
      <c r="U289" s="16">
        <f>IF(DAY(JunSun1)=1,IF(AND(YEAR(JunSun1+10)=CalendarYear,MONTH(JunSun1+10)=6),JunSun1+10,""),IF(AND(YEAR(JunSun1+17)=CalendarYear,MONTH(JunSun1+17)=6),JunSun1+17,""))</f>
        <v>45825</v>
      </c>
      <c r="V289" s="16">
        <f>IF(DAY(JunSun1)=1,IF(AND(YEAR(JunSun1+11)=CalendarYear,MONTH(JunSun1+11)=6),JunSun1+11,""),IF(AND(YEAR(JunSun1+18)=CalendarYear,MONTH(JunSun1+18)=6),JunSun1+18,""))</f>
        <v>45826</v>
      </c>
      <c r="W289" s="16">
        <f>IF(DAY(JunSun1)=1,IF(AND(YEAR(JunSun1+12)=CalendarYear,MONTH(JunSun1+12)=6),JunSun1+12,""),IF(AND(YEAR(JunSun1+19)=CalendarYear,MONTH(JunSun1+19)=6),JunSun1+19,""))</f>
        <v>45827</v>
      </c>
      <c r="X289" s="16">
        <f>IF(DAY(JunSun1)=1,IF(AND(YEAR(JunSun1+13)=CalendarYear,MONTH(JunSun1+13)=6),JunSun1+13,""),IF(AND(YEAR(JunSun1+20)=CalendarYear,MONTH(JunSun1+20)=6),JunSun1+20,""))</f>
        <v>45828</v>
      </c>
      <c r="Y289" s="16">
        <f>IF(DAY(JunSun1)=1,IF(AND(YEAR(JunSun1+14)=CalendarYear,MONTH(JunSun1+14)=6),JunSun1+14,""),IF(AND(YEAR(JunSun1+21)=CalendarYear,MONTH(JunSun1+21)=6),JunSun1+21,""))</f>
        <v>45829</v>
      </c>
      <c r="Z289" s="16">
        <f>IF(DAY(JunSun1)=1,IF(AND(YEAR(JunSun1+15)=CalendarYear,MONTH(JunSun1+15)=6),JunSun1+15,""),IF(AND(YEAR(JunSun1+22)=CalendarYear,MONTH(JunSun1+22)=6),JunSun1+22,""))</f>
        <v>45830</v>
      </c>
      <c r="AA289" s="16">
        <f>IF(DAY(JunSun1)=1,IF(AND(YEAR(JunSun1+16)=CalendarYear,MONTH(JunSun1+16)=6),JunSun1+16,""),IF(AND(YEAR(JunSun1+23)=CalendarYear,MONTH(JunSun1+23)=6),JunSun1+23,""))</f>
        <v>45831</v>
      </c>
      <c r="AB289" s="16">
        <f>IF(DAY(JunSun1)=1,IF(AND(YEAR(JunSun1+17)=CalendarYear,MONTH(JunSun1+17)=6),JunSun1+17,""),IF(AND(YEAR(JunSun1+24)=CalendarYear,MONTH(JunSun1+24)=6),JunSun1+24,""))</f>
        <v>45832</v>
      </c>
      <c r="AC289" s="16">
        <f>IF(DAY(JunSun1)=1,IF(AND(YEAR(JunSun1+18)=CalendarYear,MONTH(JunSun1+18)=6),JunSun1+18,""),IF(AND(YEAR(JunSun1+25)=CalendarYear,MONTH(JunSun1+25)=6),JunSun1+25,""))</f>
        <v>45833</v>
      </c>
      <c r="AD289" s="16">
        <f>IF(DAY(JunSun1)=1,IF(AND(YEAR(JunSun1+19)=CalendarYear,MONTH(JunSun1+19)=6),JunSun1+19,""),IF(AND(YEAR(JunSun1+26)=CalendarYear,MONTH(JunSun1+26)=6),JunSun1+26,""))</f>
        <v>45834</v>
      </c>
      <c r="AE289" s="16">
        <f>IF(DAY(JunSun1)=1,IF(AND(YEAR(JunSun1+20)=CalendarYear,MONTH(JunSun1+20)=6),JunSun1+20,""),IF(AND(YEAR(JunSun1+27)=CalendarYear,MONTH(JunSun1+27)=6),JunSun1+27,""))</f>
        <v>45835</v>
      </c>
      <c r="AF289" s="16">
        <f>IF(DAY(JunSun1)=1,IF(AND(YEAR(JunSun1+21)=CalendarYear,MONTH(JunSun1+21)=6),JunSun1+21,""),IF(AND(YEAR(JunSun1+28)=CalendarYear,MONTH(JunSun1+28)=6),JunSun1+28,""))</f>
        <v>45836</v>
      </c>
      <c r="AG289" s="16">
        <f>IF(DAY(JunSun1)=1,IF(AND(YEAR(JunSun1+22)=CalendarYear,MONTH(JunSun1+22)=6),JunSun1+22,""),IF(AND(YEAR(JunSun1+29)=CalendarYear,MONTH(JunSun1+29)=6),JunSun1+29,""))</f>
        <v>45837</v>
      </c>
      <c r="AH289" s="16">
        <f>IF(DAY(JunSun1)=1,IF(AND(YEAR(JunSun1+23)=CalendarYear,MONTH(JunSun1+23)=6),JunSun1+23,""),IF(AND(YEAR(JunSun1+30)=CalendarYear,MONTH(JunSun1+30)=6),JunSun1+30,""))</f>
        <v>45838</v>
      </c>
      <c r="AI289" s="16" t="str">
        <f>IF(DAY(JunSun1)=1,IF(AND(YEAR(JunSun1+24)=CalendarYear,MONTH(JunSun1+24)=6),JunSun1+24,""),IF(AND(YEAR(JunSun1+31)=CalendarYear,MONTH(JunSun1+31)=6),JunSun1+31,""))</f>
        <v/>
      </c>
      <c r="AJ289" s="16" t="str">
        <f>IF(DAY(JunSun1)=1,IF(AND(YEAR(JunSun1+25)=CalendarYear,MONTH(JunSun1+25)=6),JunSun1+25,""),IF(AND(YEAR(JunSun1+32)=CalendarYear,MONTH(JunSun1+32)=6),JunSun1+32,""))</f>
        <v/>
      </c>
      <c r="AK289" s="16" t="str">
        <f>IF(DAY(JunSun1)=1,IF(AND(YEAR(JunSun1+26)=CalendarYear,MONTH(JunSun1+26)=6),JunSun1+26,""),IF(AND(YEAR(JunSun1+33)=CalendarYear,MONTH(JunSun1+33)=6),JunSun1+33,""))</f>
        <v/>
      </c>
      <c r="AL289" s="16" t="str">
        <f>IF(DAY(JunSun1)=1,IF(AND(YEAR(JunSun1+27)=CalendarYear,MONTH(JunSun1+27)=6),JunSun1+27,""),IF(AND(YEAR(JunSun1+34)=CalendarYear,MONTH(JunSun1+34)=6),JunSun1+34,""))</f>
        <v/>
      </c>
      <c r="AM289" s="16" t="str">
        <f>IF(DAY(JunSun1)=1,IF(AND(YEAR(JunSun1+28)=CalendarYear,MONTH(JunSun1+28)=6),JunSun1+28,""),IF(AND(YEAR(JunSun1+35)=CalendarYear,MONTH(JunSun1+35)=6),JunSun1+35,""))</f>
        <v/>
      </c>
      <c r="AN289" s="16" t="str">
        <f>IF(DAY(JunSun1)=1,IF(AND(YEAR(JunSun1+29)=CalendarYear,MONTH(JunSun1+29)=6),JunSun1+29,""),IF(AND(YEAR(JunSun1+36)=CalendarYear,MONTH(JunSun1+36)=6),JunSun1+36,""))</f>
        <v/>
      </c>
      <c r="AO289" s="17" t="str">
        <f>IF(DAY(JunSun1)=1,IF(AND(YEAR(JunSun1+30)=CalendarYear,MONTH(JunSun1+30)=6),JunSun1+30,""),IF(AND(YEAR(JunSun1+37)=CalendarYear,MONTH(JunSun1+37)=6),JunSun1+37,""))</f>
        <v/>
      </c>
      <c r="AP289" s="29"/>
      <c r="AQ289" s="29"/>
      <c r="AR289" s="29"/>
    </row>
    <row r="290" spans="4:44" s="10" customFormat="1" ht="19" customHeight="1" thickBot="1" x14ac:dyDescent="0.45">
      <c r="D290" s="43"/>
      <c r="E290" s="18" t="s">
        <v>2</v>
      </c>
      <c r="F290" s="18" t="s">
        <v>3</v>
      </c>
      <c r="G290" s="18" t="s">
        <v>4</v>
      </c>
      <c r="H290" s="18" t="s">
        <v>5</v>
      </c>
      <c r="I290" s="18" t="s">
        <v>6</v>
      </c>
      <c r="J290" s="18" t="s">
        <v>7</v>
      </c>
      <c r="K290" s="18" t="s">
        <v>8</v>
      </c>
      <c r="L290" s="18" t="s">
        <v>2</v>
      </c>
      <c r="M290" s="18" t="s">
        <v>3</v>
      </c>
      <c r="N290" s="18" t="s">
        <v>4</v>
      </c>
      <c r="O290" s="18" t="s">
        <v>5</v>
      </c>
      <c r="P290" s="18" t="s">
        <v>6</v>
      </c>
      <c r="Q290" s="18" t="s">
        <v>7</v>
      </c>
      <c r="R290" s="18" t="s">
        <v>8</v>
      </c>
      <c r="S290" s="18" t="s">
        <v>2</v>
      </c>
      <c r="T290" s="18" t="s">
        <v>3</v>
      </c>
      <c r="U290" s="18" t="s">
        <v>4</v>
      </c>
      <c r="V290" s="18" t="s">
        <v>5</v>
      </c>
      <c r="W290" s="18" t="s">
        <v>6</v>
      </c>
      <c r="X290" s="18" t="s">
        <v>7</v>
      </c>
      <c r="Y290" s="18" t="s">
        <v>8</v>
      </c>
      <c r="Z290" s="18" t="s">
        <v>2</v>
      </c>
      <c r="AA290" s="18" t="s">
        <v>3</v>
      </c>
      <c r="AB290" s="18" t="s">
        <v>4</v>
      </c>
      <c r="AC290" s="18" t="s">
        <v>5</v>
      </c>
      <c r="AD290" s="18" t="s">
        <v>6</v>
      </c>
      <c r="AE290" s="18" t="s">
        <v>7</v>
      </c>
      <c r="AF290" s="18" t="s">
        <v>8</v>
      </c>
      <c r="AG290" s="18" t="s">
        <v>2</v>
      </c>
      <c r="AH290" s="18" t="s">
        <v>3</v>
      </c>
      <c r="AI290" s="18" t="s">
        <v>4</v>
      </c>
      <c r="AJ290" s="18" t="s">
        <v>5</v>
      </c>
      <c r="AK290" s="18" t="s">
        <v>6</v>
      </c>
      <c r="AL290" s="18" t="s">
        <v>7</v>
      </c>
      <c r="AM290" s="18" t="s">
        <v>8</v>
      </c>
      <c r="AN290" s="18" t="s">
        <v>2</v>
      </c>
      <c r="AO290" s="19" t="s">
        <v>3</v>
      </c>
      <c r="AP290" s="23"/>
      <c r="AQ290" s="23"/>
      <c r="AR290" s="23"/>
    </row>
    <row r="291" spans="4:44" ht="19" customHeight="1" thickBot="1" x14ac:dyDescent="0.45">
      <c r="D291" s="21" t="s">
        <v>10</v>
      </c>
      <c r="E291" s="20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31"/>
      <c r="AP291" s="39">
        <v>2</v>
      </c>
      <c r="AQ291" s="39"/>
      <c r="AR291" s="39"/>
    </row>
    <row r="292" spans="4:44" ht="19" customHeight="1" thickBot="1" x14ac:dyDescent="0.45">
      <c r="D292" s="22" t="s">
        <v>11</v>
      </c>
      <c r="E292" s="20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31"/>
      <c r="AP292" s="39">
        <v>32</v>
      </c>
      <c r="AQ292" s="39"/>
      <c r="AR292" s="39"/>
    </row>
    <row r="293" spans="4:44" ht="19" customHeight="1" thickBot="1" x14ac:dyDescent="0.45">
      <c r="D293" s="22" t="s">
        <v>12</v>
      </c>
      <c r="E293" s="20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31"/>
      <c r="AP293" s="39">
        <v>61</v>
      </c>
      <c r="AQ293" s="39"/>
      <c r="AR293" s="39"/>
    </row>
    <row r="294" spans="4:44" ht="19" customHeight="1" thickBot="1" x14ac:dyDescent="0.45">
      <c r="D294" s="22" t="s">
        <v>13</v>
      </c>
      <c r="E294" s="20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31"/>
      <c r="AP294" s="39">
        <v>7</v>
      </c>
      <c r="AQ294" s="39"/>
      <c r="AR294" s="39"/>
    </row>
    <row r="295" spans="4:44" ht="19" customHeight="1" thickBot="1" x14ac:dyDescent="0.45">
      <c r="D295" s="22" t="s">
        <v>14</v>
      </c>
      <c r="E295" s="20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31"/>
      <c r="AP295" s="39">
        <v>7</v>
      </c>
      <c r="AQ295" s="39"/>
      <c r="AR295" s="39"/>
    </row>
    <row r="296" spans="4:44" ht="19" customHeight="1" thickBot="1" x14ac:dyDescent="0.45">
      <c r="D296" s="22" t="s">
        <v>15</v>
      </c>
      <c r="E296" s="20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31"/>
      <c r="AP296" s="39">
        <v>10</v>
      </c>
      <c r="AQ296" s="39"/>
      <c r="AR296" s="39"/>
    </row>
    <row r="297" spans="4:44" ht="19" customHeight="1" thickBot="1" x14ac:dyDescent="0.45">
      <c r="D297" s="22" t="s">
        <v>16</v>
      </c>
      <c r="E297" s="20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31"/>
      <c r="AP297" s="39">
        <v>2</v>
      </c>
      <c r="AQ297" s="39"/>
      <c r="AR297" s="39"/>
    </row>
    <row r="298" spans="4:44" ht="19" customHeight="1" thickBot="1" x14ac:dyDescent="0.45">
      <c r="D298" s="22" t="s">
        <v>17</v>
      </c>
      <c r="E298" s="20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31"/>
      <c r="AP298" s="39">
        <v>4</v>
      </c>
      <c r="AQ298" s="39"/>
      <c r="AR298" s="39"/>
    </row>
    <row r="299" spans="4:44" ht="19" customHeight="1" thickBot="1" x14ac:dyDescent="0.45">
      <c r="D299" s="22" t="s">
        <v>18</v>
      </c>
      <c r="E299" s="20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31"/>
      <c r="AP299" s="39">
        <v>2</v>
      </c>
      <c r="AQ299" s="39"/>
      <c r="AR299" s="39"/>
    </row>
    <row r="300" spans="4:44" ht="19" customHeight="1" thickBot="1" x14ac:dyDescent="0.45">
      <c r="D300" s="22" t="s">
        <v>19</v>
      </c>
      <c r="E300" s="20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31"/>
      <c r="AP300" s="39">
        <v>6</v>
      </c>
      <c r="AQ300" s="39"/>
      <c r="AR300" s="39"/>
    </row>
    <row r="301" spans="4:44" ht="19" customHeight="1" thickBot="1" x14ac:dyDescent="0.45">
      <c r="D301" s="22" t="s">
        <v>20</v>
      </c>
      <c r="E301" s="20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31"/>
      <c r="AP301" s="39">
        <v>13</v>
      </c>
      <c r="AQ301" s="39"/>
      <c r="AR301" s="39"/>
    </row>
    <row r="302" spans="4:44" ht="19" customHeight="1" thickBot="1" x14ac:dyDescent="0.45">
      <c r="D302" s="22" t="s">
        <v>21</v>
      </c>
      <c r="E302" s="20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31"/>
      <c r="AP302" s="39">
        <v>1</v>
      </c>
      <c r="AQ302" s="39"/>
      <c r="AR302" s="39"/>
    </row>
    <row r="303" spans="4:44" ht="19" customHeight="1" thickBot="1" x14ac:dyDescent="0.45">
      <c r="D303" s="22" t="s">
        <v>22</v>
      </c>
      <c r="E303" s="20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31"/>
      <c r="AP303" s="39">
        <v>6</v>
      </c>
      <c r="AQ303" s="39"/>
      <c r="AR303" s="39"/>
    </row>
    <row r="304" spans="4:44" ht="19" customHeight="1" thickBot="1" x14ac:dyDescent="0.45"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</row>
    <row r="305" spans="4:44" ht="19" customHeight="1" thickBot="1" x14ac:dyDescent="0.45">
      <c r="D305" s="21" t="s">
        <v>23</v>
      </c>
      <c r="E305" s="20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31"/>
      <c r="AP305" s="39" t="s">
        <v>24</v>
      </c>
      <c r="AQ305" s="39"/>
      <c r="AR305" s="39"/>
    </row>
    <row r="306" spans="4:44" ht="19" customHeight="1" thickBot="1" x14ac:dyDescent="0.45">
      <c r="D306" s="22" t="s">
        <v>25</v>
      </c>
      <c r="E306" s="20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31"/>
      <c r="AP306" s="39" t="s">
        <v>26</v>
      </c>
      <c r="AQ306" s="39"/>
      <c r="AR306" s="39"/>
    </row>
    <row r="307" spans="4:44" ht="19" customHeight="1" thickBot="1" x14ac:dyDescent="0.45">
      <c r="D307" s="22" t="s">
        <v>27</v>
      </c>
      <c r="E307" s="20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31"/>
      <c r="AP307" s="39" t="s">
        <v>28</v>
      </c>
      <c r="AQ307" s="39"/>
      <c r="AR307" s="39"/>
    </row>
    <row r="308" spans="4:44" ht="19" customHeight="1" thickBot="1" x14ac:dyDescent="0.45">
      <c r="D308" s="22" t="s">
        <v>29</v>
      </c>
      <c r="E308" s="20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31"/>
      <c r="AP308" s="39">
        <v>34</v>
      </c>
      <c r="AQ308" s="39"/>
      <c r="AR308" s="39"/>
    </row>
    <row r="309" spans="4:44" ht="19" customHeight="1" thickBot="1" x14ac:dyDescent="0.45">
      <c r="D309" s="22" t="s">
        <v>30</v>
      </c>
      <c r="E309" s="20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31"/>
      <c r="AP309" s="39">
        <v>13</v>
      </c>
      <c r="AQ309" s="39"/>
      <c r="AR309" s="39"/>
    </row>
    <row r="310" spans="4:44" ht="19" customHeight="1" thickBot="1" x14ac:dyDescent="0.45">
      <c r="D310" s="22" t="s">
        <v>31</v>
      </c>
      <c r="E310" s="20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31"/>
      <c r="AP310" s="39">
        <v>16</v>
      </c>
      <c r="AQ310" s="39"/>
      <c r="AR310" s="39"/>
    </row>
    <row r="311" spans="4:44" ht="19" customHeight="1" thickBot="1" x14ac:dyDescent="0.45">
      <c r="D311" s="22" t="s">
        <v>32</v>
      </c>
      <c r="E311" s="20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31"/>
      <c r="AP311" s="39">
        <v>15</v>
      </c>
      <c r="AQ311" s="39"/>
      <c r="AR311" s="39"/>
    </row>
    <row r="312" spans="4:44" ht="19" customHeight="1" thickBot="1" x14ac:dyDescent="0.45"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32"/>
      <c r="AP312" s="26"/>
      <c r="AQ312" s="26"/>
      <c r="AR312" s="26"/>
    </row>
    <row r="313" spans="4:44" ht="19" customHeight="1" thickBot="1" x14ac:dyDescent="0.45">
      <c r="D313" s="21" t="s">
        <v>33</v>
      </c>
      <c r="E313" s="20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31"/>
      <c r="AP313" s="39">
        <v>3</v>
      </c>
      <c r="AQ313" s="39"/>
      <c r="AR313" s="39"/>
    </row>
    <row r="314" spans="4:44" ht="19" customHeight="1" thickBot="1" x14ac:dyDescent="0.45">
      <c r="D314" s="22" t="s">
        <v>34</v>
      </c>
      <c r="E314" s="20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31"/>
      <c r="AP314" s="39">
        <v>7</v>
      </c>
      <c r="AQ314" s="39"/>
      <c r="AR314" s="39"/>
    </row>
    <row r="315" spans="4:44" ht="19" customHeight="1" thickBot="1" x14ac:dyDescent="0.45">
      <c r="D315" s="22" t="s">
        <v>35</v>
      </c>
      <c r="E315" s="20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31"/>
      <c r="AP315" s="39">
        <v>2</v>
      </c>
      <c r="AQ315" s="39"/>
      <c r="AR315" s="39"/>
    </row>
    <row r="316" spans="4:44" ht="19" customHeight="1" thickBot="1" x14ac:dyDescent="0.45">
      <c r="D316" s="22" t="s">
        <v>36</v>
      </c>
      <c r="E316" s="20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31"/>
      <c r="AP316" s="39">
        <v>4</v>
      </c>
      <c r="AQ316" s="39"/>
      <c r="AR316" s="39"/>
    </row>
    <row r="317" spans="4:44" ht="19" customHeight="1" thickBot="1" x14ac:dyDescent="0.45">
      <c r="D317" s="22" t="s">
        <v>37</v>
      </c>
      <c r="E317" s="20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31"/>
      <c r="AP317" s="39">
        <v>2</v>
      </c>
      <c r="AQ317" s="39"/>
      <c r="AR317" s="39"/>
    </row>
    <row r="318" spans="4:44" ht="19" customHeight="1" thickBot="1" x14ac:dyDescent="0.45">
      <c r="D318" s="22" t="s">
        <v>38</v>
      </c>
      <c r="E318" s="20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31"/>
      <c r="AP318" s="39">
        <v>8</v>
      </c>
      <c r="AQ318" s="39"/>
      <c r="AR318" s="39"/>
    </row>
    <row r="319" spans="4:44" ht="19" customHeight="1" thickBot="1" x14ac:dyDescent="0.45"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33"/>
      <c r="AP319" s="34"/>
      <c r="AQ319" s="34"/>
      <c r="AR319" s="34"/>
    </row>
    <row r="320" spans="4:44" ht="19" customHeight="1" thickBot="1" x14ac:dyDescent="0.45">
      <c r="D320" s="21" t="s">
        <v>39</v>
      </c>
      <c r="E320" s="20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31"/>
      <c r="AP320" s="39">
        <v>3</v>
      </c>
      <c r="AQ320" s="39"/>
      <c r="AR320" s="39"/>
    </row>
    <row r="321" spans="4:44" ht="19" customHeight="1" thickBot="1" x14ac:dyDescent="0.45">
      <c r="D321" s="22" t="s">
        <v>40</v>
      </c>
      <c r="E321" s="20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31"/>
      <c r="AP321" s="39">
        <v>3</v>
      </c>
      <c r="AQ321" s="39"/>
      <c r="AR321" s="39"/>
    </row>
    <row r="322" spans="4:44" ht="19" customHeight="1" thickBot="1" x14ac:dyDescent="0.45">
      <c r="D322" s="22" t="s">
        <v>41</v>
      </c>
      <c r="E322" s="20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31"/>
      <c r="AP322" s="39">
        <v>2</v>
      </c>
      <c r="AQ322" s="39"/>
      <c r="AR322" s="39"/>
    </row>
    <row r="323" spans="4:44" ht="19" customHeight="1" thickBot="1" x14ac:dyDescent="0.45">
      <c r="D323" s="22" t="s">
        <v>42</v>
      </c>
      <c r="E323" s="20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31"/>
      <c r="AP323" s="39">
        <v>2</v>
      </c>
      <c r="AQ323" s="39"/>
      <c r="AR323" s="39"/>
    </row>
    <row r="324" spans="4:44" ht="19" customHeight="1" thickBot="1" x14ac:dyDescent="0.45"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32"/>
      <c r="AP324" s="26"/>
      <c r="AQ324" s="26"/>
      <c r="AR324" s="26"/>
    </row>
    <row r="325" spans="4:44" ht="19" customHeight="1" thickBot="1" x14ac:dyDescent="0.45">
      <c r="D325" s="21" t="s">
        <v>43</v>
      </c>
      <c r="E325" s="20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31"/>
      <c r="AP325" s="39">
        <v>2</v>
      </c>
      <c r="AQ325" s="39"/>
      <c r="AR325" s="39"/>
    </row>
    <row r="326" spans="4:44" ht="19" customHeight="1" thickBot="1" x14ac:dyDescent="0.45">
      <c r="D326" s="22" t="s">
        <v>44</v>
      </c>
      <c r="E326" s="20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31"/>
      <c r="AP326" s="39">
        <v>2</v>
      </c>
      <c r="AQ326" s="39"/>
      <c r="AR326" s="39"/>
    </row>
    <row r="327" spans="4:44" ht="19" customHeight="1" thickBot="1" x14ac:dyDescent="0.45">
      <c r="D327" s="22" t="s">
        <v>45</v>
      </c>
      <c r="E327" s="20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31"/>
      <c r="AP327" s="39">
        <v>1</v>
      </c>
      <c r="AQ327" s="39"/>
      <c r="AR327" s="39"/>
    </row>
    <row r="328" spans="4:44" ht="19" customHeight="1" thickBot="1" x14ac:dyDescent="0.45">
      <c r="D328" s="22" t="s">
        <v>46</v>
      </c>
      <c r="E328" s="20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31"/>
      <c r="AP328" s="39">
        <v>2</v>
      </c>
      <c r="AQ328" s="39"/>
      <c r="AR328" s="39"/>
    </row>
    <row r="329" spans="4:44" ht="19" customHeight="1" thickBot="1" x14ac:dyDescent="0.45">
      <c r="D329" s="22" t="s">
        <v>47</v>
      </c>
      <c r="E329" s="20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31"/>
      <c r="AP329" s="39">
        <v>2</v>
      </c>
      <c r="AQ329" s="39"/>
      <c r="AR329" s="39"/>
    </row>
    <row r="330" spans="4:44" ht="19" customHeight="1" thickBot="1" x14ac:dyDescent="0.45">
      <c r="D330" s="22" t="s">
        <v>48</v>
      </c>
      <c r="E330" s="20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31"/>
      <c r="AP330" s="39">
        <v>3</v>
      </c>
      <c r="AQ330" s="39"/>
      <c r="AR330" s="39"/>
    </row>
    <row r="331" spans="4:44" ht="19" customHeight="1" thickBot="1" x14ac:dyDescent="0.45">
      <c r="D331" s="22" t="s">
        <v>49</v>
      </c>
      <c r="E331" s="20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31"/>
      <c r="AP331" s="39">
        <v>2</v>
      </c>
      <c r="AQ331" s="39"/>
      <c r="AR331" s="39"/>
    </row>
    <row r="332" spans="4:44" ht="19" customHeight="1" thickBot="1" x14ac:dyDescent="0.45">
      <c r="D332" s="22" t="s">
        <v>50</v>
      </c>
      <c r="E332" s="20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31"/>
      <c r="AP332" s="39">
        <v>1</v>
      </c>
      <c r="AQ332" s="39"/>
      <c r="AR332" s="39"/>
    </row>
    <row r="333" spans="4:44" ht="19" customHeight="1" thickBot="1" x14ac:dyDescent="0.45">
      <c r="D333" s="22" t="s">
        <v>51</v>
      </c>
      <c r="E333" s="20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31"/>
      <c r="AP333" s="39">
        <v>1</v>
      </c>
      <c r="AQ333" s="39"/>
      <c r="AR333" s="39"/>
    </row>
    <row r="334" spans="4:44" ht="19" customHeight="1" thickBot="1" x14ac:dyDescent="0.45">
      <c r="D334" s="22" t="s">
        <v>52</v>
      </c>
      <c r="E334" s="20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31"/>
      <c r="AP334" s="39">
        <v>3</v>
      </c>
      <c r="AQ334" s="39"/>
      <c r="AR334" s="39"/>
    </row>
    <row r="335" spans="4:44" ht="19" customHeight="1" thickBot="1" x14ac:dyDescent="0.45">
      <c r="D335" s="22" t="s">
        <v>53</v>
      </c>
      <c r="E335" s="20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31"/>
      <c r="AP335" s="39">
        <v>2</v>
      </c>
      <c r="AQ335" s="39"/>
      <c r="AR335" s="39"/>
    </row>
    <row r="336" spans="4:44" ht="19" customHeight="1" thickBot="1" x14ac:dyDescent="0.45">
      <c r="D336" s="22" t="s">
        <v>54</v>
      </c>
      <c r="E336" s="20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31"/>
      <c r="AP336" s="39">
        <v>1</v>
      </c>
      <c r="AQ336" s="39"/>
      <c r="AR336" s="39"/>
    </row>
    <row r="337" spans="4:44" ht="19" customHeight="1" thickBot="1" x14ac:dyDescent="0.45">
      <c r="D337" s="22" t="s">
        <v>55</v>
      </c>
      <c r="E337" s="20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31"/>
      <c r="AP337" s="39">
        <v>1</v>
      </c>
      <c r="AQ337" s="39"/>
      <c r="AR337" s="39"/>
    </row>
    <row r="338" spans="4:44" ht="19" customHeight="1" thickBot="1" x14ac:dyDescent="0.45">
      <c r="D338" s="22" t="s">
        <v>56</v>
      </c>
      <c r="E338" s="20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31"/>
      <c r="AP338" s="39">
        <v>2</v>
      </c>
      <c r="AQ338" s="39"/>
      <c r="AR338" s="39"/>
    </row>
    <row r="339" spans="4:44" ht="19" customHeight="1" thickBot="1" x14ac:dyDescent="0.45">
      <c r="D339" s="22" t="s">
        <v>57</v>
      </c>
      <c r="E339" s="20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31"/>
      <c r="AP339" s="39">
        <v>2</v>
      </c>
      <c r="AQ339" s="39"/>
      <c r="AR339" s="39"/>
    </row>
    <row r="340" spans="4:44" ht="19" customHeight="1" x14ac:dyDescent="0.4">
      <c r="D340" s="8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30"/>
      <c r="AQ340" s="30"/>
      <c r="AR340" s="30"/>
    </row>
    <row r="341" spans="4:44" ht="19" customHeight="1" x14ac:dyDescent="0.4">
      <c r="D341" s="8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30"/>
      <c r="AQ341" s="30"/>
      <c r="AR341" s="30"/>
    </row>
    <row r="342" spans="4:44" ht="19" customHeight="1" x14ac:dyDescent="0.4">
      <c r="D342" s="8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30"/>
      <c r="AQ342" s="30"/>
      <c r="AR342" s="30"/>
    </row>
    <row r="343" spans="4:44" ht="19" customHeight="1" x14ac:dyDescent="0.4">
      <c r="D343" s="8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30"/>
      <c r="AQ343" s="30"/>
      <c r="AR343" s="30"/>
    </row>
    <row r="344" spans="4:44" ht="19" customHeight="1" x14ac:dyDescent="0.4">
      <c r="D344" s="8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30"/>
      <c r="AQ344" s="30"/>
      <c r="AR344" s="30"/>
    </row>
    <row r="345" spans="4:44" ht="19" customHeight="1" x14ac:dyDescent="0.4">
      <c r="D345" s="8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30"/>
      <c r="AQ345" s="30"/>
      <c r="AR345" s="30"/>
    </row>
    <row r="346" spans="4:44" ht="19" customHeight="1" x14ac:dyDescent="0.4">
      <c r="D346" s="9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30"/>
      <c r="AQ346" s="30"/>
      <c r="AR346" s="30"/>
    </row>
    <row r="347" spans="4:44" ht="19" customHeight="1" x14ac:dyDescent="0.4">
      <c r="D347" s="9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30"/>
      <c r="AQ347" s="30"/>
      <c r="AR347" s="30"/>
    </row>
    <row r="348" spans="4:44" ht="12" customHeight="1" x14ac:dyDescent="0.4"/>
    <row r="349" spans="4:44" s="10" customFormat="1" ht="19" customHeight="1" x14ac:dyDescent="0.4">
      <c r="D349" s="41">
        <f>DATE(CalendarYear,7,1)</f>
        <v>45839</v>
      </c>
      <c r="E349" s="16" t="str">
        <f>IF(DAY(JulSun1)=1,"",IF(AND(YEAR(JulSun1+1)=CalendarYear,MONTH(JulSun1+1)=7),JulSun1+1,""))</f>
        <v/>
      </c>
      <c r="F349" s="16" t="str">
        <f>IF(DAY(JulSun1)=1,"",IF(AND(YEAR(JulSun1+2)=CalendarYear,MONTH(JulSun1+2)=7),JulSun1+2,""))</f>
        <v/>
      </c>
      <c r="G349" s="16">
        <f>IF(DAY(JulSun1)=1,"",IF(AND(YEAR(JulSun1+3)=CalendarYear,MONTH(JulSun1+3)=7),JulSun1+3,""))</f>
        <v>45839</v>
      </c>
      <c r="H349" s="16">
        <f>IF(DAY(JulSun1)=1,"",IF(AND(YEAR(JulSun1+4)=CalendarYear,MONTH(JulSun1+4)=7),JulSun1+4,""))</f>
        <v>45840</v>
      </c>
      <c r="I349" s="16">
        <f>IF(DAY(JulSun1)=1,"",IF(AND(YEAR(JulSun1+5)=CalendarYear,MONTH(JulSun1+5)=7),JulSun1+5,""))</f>
        <v>45841</v>
      </c>
      <c r="J349" s="16">
        <f>IF(DAY(JulSun1)=1,"",IF(AND(YEAR(JulSun1+6)=CalendarYear,MONTH(JulSun1+6)=7),JulSun1+6,""))</f>
        <v>45842</v>
      </c>
      <c r="K349" s="16">
        <f>IF(DAY(JulSun1)=1,IF(AND(YEAR(JulSun1)=CalendarYear,MONTH(JulSun1)=7),JulSun1,""),IF(AND(YEAR(JulSun1+7)=CalendarYear,MONTH(JulSun1+7)=7),JulSun1+7,""))</f>
        <v>45843</v>
      </c>
      <c r="L349" s="16">
        <f>IF(DAY(JulSun1)=1,IF(AND(YEAR(JulSun1+1)=CalendarYear,MONTH(JulSun1+1)=7),JulSun1+1,""),IF(AND(YEAR(JulSun1+8)=CalendarYear,MONTH(JulSun1+8)=7),JulSun1+8,""))</f>
        <v>45844</v>
      </c>
      <c r="M349" s="16">
        <f>IF(DAY(JulSun1)=1,IF(AND(YEAR(JulSun1+2)=CalendarYear,MONTH(JulSun1+2)=7),JulSun1+2,""),IF(AND(YEAR(JulSun1+9)=CalendarYear,MONTH(JulSun1+9)=7),JulSun1+9,""))</f>
        <v>45845</v>
      </c>
      <c r="N349" s="16">
        <f>IF(DAY(JulSun1)=1,IF(AND(YEAR(JulSun1+3)=CalendarYear,MONTH(JulSun1+3)=7),JulSun1+3,""),IF(AND(YEAR(JulSun1+10)=CalendarYear,MONTH(JulSun1+10)=7),JulSun1+10,""))</f>
        <v>45846</v>
      </c>
      <c r="O349" s="16">
        <f>IF(DAY(JulSun1)=1,IF(AND(YEAR(JulSun1+4)=CalendarYear,MONTH(JulSun1+4)=7),JulSun1+4,""),IF(AND(YEAR(JulSun1+11)=CalendarYear,MONTH(JulSun1+11)=7),JulSun1+11,""))</f>
        <v>45847</v>
      </c>
      <c r="P349" s="16">
        <f>IF(DAY(JulSun1)=1,IF(AND(YEAR(JulSun1+5)=CalendarYear,MONTH(JulSun1+5)=7),JulSun1+5,""),IF(AND(YEAR(JulSun1+12)=CalendarYear,MONTH(JulSun1+12)=7),JulSun1+12,""))</f>
        <v>45848</v>
      </c>
      <c r="Q349" s="16">
        <f>IF(DAY(JulSun1)=1,IF(AND(YEAR(JulSun1+6)=CalendarYear,MONTH(JulSun1+6)=7),JulSun1+6,""),IF(AND(YEAR(JulSun1+13)=CalendarYear,MONTH(JulSun1+13)=7),JulSun1+13,""))</f>
        <v>45849</v>
      </c>
      <c r="R349" s="16">
        <f>IF(DAY(JulSun1)=1,IF(AND(YEAR(JulSun1+7)=CalendarYear,MONTH(JulSun1+7)=7),JulSun1+7,""),IF(AND(YEAR(JulSun1+14)=CalendarYear,MONTH(JulSun1+14)=7),JulSun1+14,""))</f>
        <v>45850</v>
      </c>
      <c r="S349" s="16">
        <f>IF(DAY(JulSun1)=1,IF(AND(YEAR(JulSun1+8)=CalendarYear,MONTH(JulSun1+8)=7),JulSun1+8,""),IF(AND(YEAR(JulSun1+15)=CalendarYear,MONTH(JulSun1+15)=7),JulSun1+15,""))</f>
        <v>45851</v>
      </c>
      <c r="T349" s="16">
        <f>IF(DAY(JulSun1)=1,IF(AND(YEAR(JulSun1+9)=CalendarYear,MONTH(JulSun1+9)=7),JulSun1+9,""),IF(AND(YEAR(JulSun1+16)=CalendarYear,MONTH(JulSun1+16)=7),JulSun1+16,""))</f>
        <v>45852</v>
      </c>
      <c r="U349" s="16">
        <f>IF(DAY(JulSun1)=1,IF(AND(YEAR(JulSun1+10)=CalendarYear,MONTH(JulSun1+10)=7),JulSun1+10,""),IF(AND(YEAR(JulSun1+17)=CalendarYear,MONTH(JulSun1+17)=7),JulSun1+17,""))</f>
        <v>45853</v>
      </c>
      <c r="V349" s="16">
        <f>IF(DAY(JulSun1)=1,IF(AND(YEAR(JulSun1+11)=CalendarYear,MONTH(JulSun1+11)=7),JulSun1+11,""),IF(AND(YEAR(JulSun1+18)=CalendarYear,MONTH(JulSun1+18)=7),JulSun1+18,""))</f>
        <v>45854</v>
      </c>
      <c r="W349" s="16">
        <f>IF(DAY(JulSun1)=1,IF(AND(YEAR(JulSun1+12)=CalendarYear,MONTH(JulSun1+12)=7),JulSun1+12,""),IF(AND(YEAR(JulSun1+19)=CalendarYear,MONTH(JulSun1+19)=7),JulSun1+19,""))</f>
        <v>45855</v>
      </c>
      <c r="X349" s="16">
        <f>IF(DAY(JulSun1)=1,IF(AND(YEAR(JulSun1+13)=CalendarYear,MONTH(JulSun1+13)=7),JulSun1+13,""),IF(AND(YEAR(JulSun1+20)=CalendarYear,MONTH(JulSun1+20)=7),JulSun1+20,""))</f>
        <v>45856</v>
      </c>
      <c r="Y349" s="16">
        <f>IF(DAY(JulSun1)=1,IF(AND(YEAR(JulSun1+14)=CalendarYear,MONTH(JulSun1+14)=7),JulSun1+14,""),IF(AND(YEAR(JulSun1+21)=CalendarYear,MONTH(JulSun1+21)=7),JulSun1+21,""))</f>
        <v>45857</v>
      </c>
      <c r="Z349" s="16">
        <f>IF(DAY(JulSun1)=1,IF(AND(YEAR(JulSun1+15)=CalendarYear,MONTH(JulSun1+15)=7),JulSun1+15,""),IF(AND(YEAR(JulSun1+22)=CalendarYear,MONTH(JulSun1+22)=7),JulSun1+22,""))</f>
        <v>45858</v>
      </c>
      <c r="AA349" s="16">
        <f>IF(DAY(JulSun1)=1,IF(AND(YEAR(JulSun1+16)=CalendarYear,MONTH(JulSun1+16)=7),JulSun1+16,""),IF(AND(YEAR(JulSun1+23)=CalendarYear,MONTH(JulSun1+23)=7),JulSun1+23,""))</f>
        <v>45859</v>
      </c>
      <c r="AB349" s="16">
        <f>IF(DAY(JulSun1)=1,IF(AND(YEAR(JulSun1+17)=CalendarYear,MONTH(JulSun1+17)=7),JulSun1+17,""),IF(AND(YEAR(JulSun1+24)=CalendarYear,MONTH(JulSun1+24)=7),JulSun1+24,""))</f>
        <v>45860</v>
      </c>
      <c r="AC349" s="16">
        <f>IF(DAY(JulSun1)=1,IF(AND(YEAR(JulSun1+18)=CalendarYear,MONTH(JulSun1+18)=7),JulSun1+18,""),IF(AND(YEAR(JulSun1+25)=CalendarYear,MONTH(JulSun1+25)=7),JulSun1+25,""))</f>
        <v>45861</v>
      </c>
      <c r="AD349" s="16">
        <f>IF(DAY(JulSun1)=1,IF(AND(YEAR(JulSun1+19)=CalendarYear,MONTH(JulSun1+19)=7),JulSun1+19,""),IF(AND(YEAR(JulSun1+26)=CalendarYear,MONTH(JulSun1+26)=7),JulSun1+26,""))</f>
        <v>45862</v>
      </c>
      <c r="AE349" s="16">
        <f>IF(DAY(JulSun1)=1,IF(AND(YEAR(JulSun1+20)=CalendarYear,MONTH(JulSun1+20)=7),JulSun1+20,""),IF(AND(YEAR(JulSun1+27)=CalendarYear,MONTH(JulSun1+27)=7),JulSun1+27,""))</f>
        <v>45863</v>
      </c>
      <c r="AF349" s="16">
        <f>IF(DAY(JulSun1)=1,IF(AND(YEAR(JulSun1+21)=CalendarYear,MONTH(JulSun1+21)=7),JulSun1+21,""),IF(AND(YEAR(JulSun1+28)=CalendarYear,MONTH(JulSun1+28)=7),JulSun1+28,""))</f>
        <v>45864</v>
      </c>
      <c r="AG349" s="16">
        <f>IF(DAY(JulSun1)=1,IF(AND(YEAR(JulSun1+22)=CalendarYear,MONTH(JulSun1+22)=7),JulSun1+22,""),IF(AND(YEAR(JulSun1+29)=CalendarYear,MONTH(JulSun1+29)=7),JulSun1+29,""))</f>
        <v>45865</v>
      </c>
      <c r="AH349" s="16">
        <f>IF(DAY(JulSun1)=1,IF(AND(YEAR(JulSun1+23)=CalendarYear,MONTH(JulSun1+23)=7),JulSun1+23,""),IF(AND(YEAR(JulSun1+30)=CalendarYear,MONTH(JulSun1+30)=7),JulSun1+30,""))</f>
        <v>45866</v>
      </c>
      <c r="AI349" s="16">
        <f>IF(DAY(JulSun1)=1,IF(AND(YEAR(JulSun1+24)=CalendarYear,MONTH(JulSun1+24)=7),JulSun1+24,""),IF(AND(YEAR(JulSun1+31)=CalendarYear,MONTH(JulSun1+31)=7),JulSun1+31,""))</f>
        <v>45867</v>
      </c>
      <c r="AJ349" s="16">
        <f>IF(DAY(JulSun1)=1,IF(AND(YEAR(JulSun1+25)=CalendarYear,MONTH(JulSun1+25)=7),JulSun1+25,""),IF(AND(YEAR(JulSun1+32)=CalendarYear,MONTH(JulSun1+32)=7),JulSun1+32,""))</f>
        <v>45868</v>
      </c>
      <c r="AK349" s="16">
        <f>IF(DAY(JulSun1)=1,IF(AND(YEAR(JulSun1+26)=CalendarYear,MONTH(JulSun1+26)=7),JulSun1+26,""),IF(AND(YEAR(JulSun1+33)=CalendarYear,MONTH(JulSun1+33)=7),JulSun1+33,""))</f>
        <v>45869</v>
      </c>
      <c r="AL349" s="16" t="str">
        <f>IF(DAY(JulSun1)=1,IF(AND(YEAR(JulSun1+27)=CalendarYear,MONTH(JulSun1+27)=7),JulSun1+27,""),IF(AND(YEAR(JulSun1+34)=CalendarYear,MONTH(JulSun1+34)=7),JulSun1+34,""))</f>
        <v/>
      </c>
      <c r="AM349" s="16" t="str">
        <f>IF(DAY(JulSun1)=1,IF(AND(YEAR(JulSun1+28)=CalendarYear,MONTH(JulSun1+28)=7),JulSun1+28,""),IF(AND(YEAR(JulSun1+35)=CalendarYear,MONTH(JulSun1+35)=7),JulSun1+35,""))</f>
        <v/>
      </c>
      <c r="AN349" s="16" t="str">
        <f>IF(DAY(JulSun1)=1,IF(AND(YEAR(JulSun1+29)=CalendarYear,MONTH(JulSun1+29)=7),JulSun1+29,""),IF(AND(YEAR(JulSun1+36)=CalendarYear,MONTH(JulSun1+36)=7),JulSun1+36,""))</f>
        <v/>
      </c>
      <c r="AO349" s="17" t="str">
        <f>IF(DAY(JulSun1)=1,IF(AND(YEAR(JulSun1+30)=CalendarYear,MONTH(JulSun1+30)=7),JulSun1+30,""),IF(AND(YEAR(JulSun1+37)=CalendarYear,MONTH(JulSun1+37)=7),JulSun1+37,""))</f>
        <v/>
      </c>
      <c r="AP349" s="29"/>
      <c r="AQ349" s="29"/>
      <c r="AR349" s="29"/>
    </row>
    <row r="350" spans="4:44" s="10" customFormat="1" ht="19" customHeight="1" thickBot="1" x14ac:dyDescent="0.45">
      <c r="D350" s="43"/>
      <c r="E350" s="18" t="s">
        <v>2</v>
      </c>
      <c r="F350" s="18" t="s">
        <v>3</v>
      </c>
      <c r="G350" s="18" t="s">
        <v>4</v>
      </c>
      <c r="H350" s="18" t="s">
        <v>5</v>
      </c>
      <c r="I350" s="18" t="s">
        <v>6</v>
      </c>
      <c r="J350" s="18" t="s">
        <v>7</v>
      </c>
      <c r="K350" s="18" t="s">
        <v>8</v>
      </c>
      <c r="L350" s="18" t="s">
        <v>2</v>
      </c>
      <c r="M350" s="18" t="s">
        <v>3</v>
      </c>
      <c r="N350" s="18" t="s">
        <v>4</v>
      </c>
      <c r="O350" s="18" t="s">
        <v>5</v>
      </c>
      <c r="P350" s="18" t="s">
        <v>6</v>
      </c>
      <c r="Q350" s="18" t="s">
        <v>7</v>
      </c>
      <c r="R350" s="18" t="s">
        <v>8</v>
      </c>
      <c r="S350" s="18" t="s">
        <v>2</v>
      </c>
      <c r="T350" s="18" t="s">
        <v>3</v>
      </c>
      <c r="U350" s="18" t="s">
        <v>4</v>
      </c>
      <c r="V350" s="18" t="s">
        <v>5</v>
      </c>
      <c r="W350" s="18" t="s">
        <v>6</v>
      </c>
      <c r="X350" s="18" t="s">
        <v>7</v>
      </c>
      <c r="Y350" s="18" t="s">
        <v>8</v>
      </c>
      <c r="Z350" s="18" t="s">
        <v>2</v>
      </c>
      <c r="AA350" s="18" t="s">
        <v>3</v>
      </c>
      <c r="AB350" s="18" t="s">
        <v>4</v>
      </c>
      <c r="AC350" s="18" t="s">
        <v>5</v>
      </c>
      <c r="AD350" s="18" t="s">
        <v>6</v>
      </c>
      <c r="AE350" s="18" t="s">
        <v>7</v>
      </c>
      <c r="AF350" s="18" t="s">
        <v>8</v>
      </c>
      <c r="AG350" s="18" t="s">
        <v>2</v>
      </c>
      <c r="AH350" s="18" t="s">
        <v>3</v>
      </c>
      <c r="AI350" s="18" t="s">
        <v>4</v>
      </c>
      <c r="AJ350" s="18" t="s">
        <v>5</v>
      </c>
      <c r="AK350" s="18" t="s">
        <v>6</v>
      </c>
      <c r="AL350" s="18" t="s">
        <v>7</v>
      </c>
      <c r="AM350" s="18" t="s">
        <v>8</v>
      </c>
      <c r="AN350" s="18" t="s">
        <v>2</v>
      </c>
      <c r="AO350" s="19" t="s">
        <v>3</v>
      </c>
      <c r="AP350" s="23"/>
      <c r="AQ350" s="23"/>
      <c r="AR350" s="23"/>
    </row>
    <row r="351" spans="4:44" ht="19" customHeight="1" thickBot="1" x14ac:dyDescent="0.45">
      <c r="D351" s="21" t="s">
        <v>10</v>
      </c>
      <c r="E351" s="20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31"/>
      <c r="AP351" s="39">
        <v>2</v>
      </c>
      <c r="AQ351" s="39"/>
      <c r="AR351" s="39"/>
    </row>
    <row r="352" spans="4:44" ht="19" customHeight="1" thickBot="1" x14ac:dyDescent="0.45">
      <c r="D352" s="22" t="s">
        <v>11</v>
      </c>
      <c r="E352" s="20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31"/>
      <c r="AP352" s="39">
        <v>32</v>
      </c>
      <c r="AQ352" s="39"/>
      <c r="AR352" s="39"/>
    </row>
    <row r="353" spans="4:44" ht="19" customHeight="1" thickBot="1" x14ac:dyDescent="0.45">
      <c r="D353" s="22" t="s">
        <v>12</v>
      </c>
      <c r="E353" s="20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31"/>
      <c r="AP353" s="39">
        <v>61</v>
      </c>
      <c r="AQ353" s="39"/>
      <c r="AR353" s="39"/>
    </row>
    <row r="354" spans="4:44" ht="19" customHeight="1" thickBot="1" x14ac:dyDescent="0.45">
      <c r="D354" s="22" t="s">
        <v>13</v>
      </c>
      <c r="E354" s="20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31"/>
      <c r="AP354" s="39">
        <v>7</v>
      </c>
      <c r="AQ354" s="39"/>
      <c r="AR354" s="39"/>
    </row>
    <row r="355" spans="4:44" ht="19" customHeight="1" thickBot="1" x14ac:dyDescent="0.45">
      <c r="D355" s="22" t="s">
        <v>14</v>
      </c>
      <c r="E355" s="20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31"/>
      <c r="AP355" s="39">
        <v>7</v>
      </c>
      <c r="AQ355" s="39"/>
      <c r="AR355" s="39"/>
    </row>
    <row r="356" spans="4:44" ht="19" customHeight="1" thickBot="1" x14ac:dyDescent="0.45">
      <c r="D356" s="22" t="s">
        <v>15</v>
      </c>
      <c r="E356" s="20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31"/>
      <c r="AP356" s="39">
        <v>10</v>
      </c>
      <c r="AQ356" s="39"/>
      <c r="AR356" s="39"/>
    </row>
    <row r="357" spans="4:44" ht="19" customHeight="1" thickBot="1" x14ac:dyDescent="0.45">
      <c r="D357" s="22" t="s">
        <v>16</v>
      </c>
      <c r="E357" s="20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31"/>
      <c r="AP357" s="39">
        <v>2</v>
      </c>
      <c r="AQ357" s="39"/>
      <c r="AR357" s="39"/>
    </row>
    <row r="358" spans="4:44" ht="19" customHeight="1" thickBot="1" x14ac:dyDescent="0.45">
      <c r="D358" s="22" t="s">
        <v>17</v>
      </c>
      <c r="E358" s="20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31"/>
      <c r="AP358" s="39">
        <v>4</v>
      </c>
      <c r="AQ358" s="39"/>
      <c r="AR358" s="39"/>
    </row>
    <row r="359" spans="4:44" ht="19" customHeight="1" thickBot="1" x14ac:dyDescent="0.45">
      <c r="D359" s="22" t="s">
        <v>18</v>
      </c>
      <c r="E359" s="20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31"/>
      <c r="AP359" s="39">
        <v>2</v>
      </c>
      <c r="AQ359" s="39"/>
      <c r="AR359" s="39"/>
    </row>
    <row r="360" spans="4:44" ht="19" customHeight="1" thickBot="1" x14ac:dyDescent="0.45">
      <c r="D360" s="22" t="s">
        <v>19</v>
      </c>
      <c r="E360" s="20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31"/>
      <c r="AP360" s="39">
        <v>6</v>
      </c>
      <c r="AQ360" s="39"/>
      <c r="AR360" s="39"/>
    </row>
    <row r="361" spans="4:44" ht="19" customHeight="1" thickBot="1" x14ac:dyDescent="0.45">
      <c r="D361" s="22" t="s">
        <v>20</v>
      </c>
      <c r="E361" s="20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31"/>
      <c r="AP361" s="39">
        <v>13</v>
      </c>
      <c r="AQ361" s="39"/>
      <c r="AR361" s="39"/>
    </row>
    <row r="362" spans="4:44" ht="19" customHeight="1" thickBot="1" x14ac:dyDescent="0.45">
      <c r="D362" s="22" t="s">
        <v>21</v>
      </c>
      <c r="E362" s="20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31"/>
      <c r="AP362" s="39">
        <v>1</v>
      </c>
      <c r="AQ362" s="39"/>
      <c r="AR362" s="39"/>
    </row>
    <row r="363" spans="4:44" ht="19" customHeight="1" thickBot="1" x14ac:dyDescent="0.45">
      <c r="D363" s="22" t="s">
        <v>22</v>
      </c>
      <c r="E363" s="20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31"/>
      <c r="AP363" s="39">
        <v>6</v>
      </c>
      <c r="AQ363" s="39"/>
      <c r="AR363" s="39"/>
    </row>
    <row r="364" spans="4:44" ht="19" customHeight="1" thickBot="1" x14ac:dyDescent="0.45"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</row>
    <row r="365" spans="4:44" ht="19" customHeight="1" thickBot="1" x14ac:dyDescent="0.45">
      <c r="D365" s="21" t="s">
        <v>23</v>
      </c>
      <c r="E365" s="20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31"/>
      <c r="AP365" s="39" t="s">
        <v>24</v>
      </c>
      <c r="AQ365" s="39"/>
      <c r="AR365" s="39"/>
    </row>
    <row r="366" spans="4:44" ht="19" customHeight="1" thickBot="1" x14ac:dyDescent="0.45">
      <c r="D366" s="22" t="s">
        <v>25</v>
      </c>
      <c r="E366" s="20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31"/>
      <c r="AP366" s="39" t="s">
        <v>26</v>
      </c>
      <c r="AQ366" s="39"/>
      <c r="AR366" s="39"/>
    </row>
    <row r="367" spans="4:44" ht="19" customHeight="1" thickBot="1" x14ac:dyDescent="0.45">
      <c r="D367" s="22" t="s">
        <v>27</v>
      </c>
      <c r="E367" s="20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31"/>
      <c r="AP367" s="39" t="s">
        <v>28</v>
      </c>
      <c r="AQ367" s="39"/>
      <c r="AR367" s="39"/>
    </row>
    <row r="368" spans="4:44" ht="19" customHeight="1" thickBot="1" x14ac:dyDescent="0.45">
      <c r="D368" s="22" t="s">
        <v>29</v>
      </c>
      <c r="E368" s="20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31"/>
      <c r="AP368" s="39">
        <v>34</v>
      </c>
      <c r="AQ368" s="39"/>
      <c r="AR368" s="39"/>
    </row>
    <row r="369" spans="4:44" ht="19" customHeight="1" thickBot="1" x14ac:dyDescent="0.45">
      <c r="D369" s="22" t="s">
        <v>30</v>
      </c>
      <c r="E369" s="20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31"/>
      <c r="AP369" s="39">
        <v>13</v>
      </c>
      <c r="AQ369" s="39"/>
      <c r="AR369" s="39"/>
    </row>
    <row r="370" spans="4:44" ht="19" customHeight="1" thickBot="1" x14ac:dyDescent="0.45">
      <c r="D370" s="22" t="s">
        <v>31</v>
      </c>
      <c r="E370" s="20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31"/>
      <c r="AP370" s="39">
        <v>16</v>
      </c>
      <c r="AQ370" s="39"/>
      <c r="AR370" s="39"/>
    </row>
    <row r="371" spans="4:44" ht="19" customHeight="1" thickBot="1" x14ac:dyDescent="0.45">
      <c r="D371" s="22" t="s">
        <v>32</v>
      </c>
      <c r="E371" s="20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31"/>
      <c r="AP371" s="39">
        <v>15</v>
      </c>
      <c r="AQ371" s="39"/>
      <c r="AR371" s="39"/>
    </row>
    <row r="372" spans="4:44" ht="19" customHeight="1" thickBot="1" x14ac:dyDescent="0.45"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32"/>
      <c r="AP372" s="26"/>
      <c r="AQ372" s="26"/>
      <c r="AR372" s="26"/>
    </row>
    <row r="373" spans="4:44" ht="19" customHeight="1" thickBot="1" x14ac:dyDescent="0.45">
      <c r="D373" s="21" t="s">
        <v>33</v>
      </c>
      <c r="E373" s="20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31"/>
      <c r="AP373" s="39">
        <v>3</v>
      </c>
      <c r="AQ373" s="39"/>
      <c r="AR373" s="39"/>
    </row>
    <row r="374" spans="4:44" ht="19" customHeight="1" thickBot="1" x14ac:dyDescent="0.45">
      <c r="D374" s="22" t="s">
        <v>34</v>
      </c>
      <c r="E374" s="20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31"/>
      <c r="AP374" s="39">
        <v>7</v>
      </c>
      <c r="AQ374" s="39"/>
      <c r="AR374" s="39"/>
    </row>
    <row r="375" spans="4:44" ht="19" customHeight="1" thickBot="1" x14ac:dyDescent="0.45">
      <c r="D375" s="22" t="s">
        <v>35</v>
      </c>
      <c r="E375" s="20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31"/>
      <c r="AP375" s="39">
        <v>2</v>
      </c>
      <c r="AQ375" s="39"/>
      <c r="AR375" s="39"/>
    </row>
    <row r="376" spans="4:44" ht="19" customHeight="1" thickBot="1" x14ac:dyDescent="0.45">
      <c r="D376" s="22" t="s">
        <v>36</v>
      </c>
      <c r="E376" s="20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31"/>
      <c r="AP376" s="39">
        <v>4</v>
      </c>
      <c r="AQ376" s="39"/>
      <c r="AR376" s="39"/>
    </row>
    <row r="377" spans="4:44" ht="19" customHeight="1" thickBot="1" x14ac:dyDescent="0.45">
      <c r="D377" s="22" t="s">
        <v>37</v>
      </c>
      <c r="E377" s="20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31"/>
      <c r="AP377" s="39">
        <v>2</v>
      </c>
      <c r="AQ377" s="39"/>
      <c r="AR377" s="39"/>
    </row>
    <row r="378" spans="4:44" ht="19" customHeight="1" thickBot="1" x14ac:dyDescent="0.45">
      <c r="D378" s="22" t="s">
        <v>38</v>
      </c>
      <c r="E378" s="20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31"/>
      <c r="AP378" s="39">
        <v>8</v>
      </c>
      <c r="AQ378" s="39"/>
      <c r="AR378" s="39"/>
    </row>
    <row r="379" spans="4:44" ht="19" customHeight="1" thickBot="1" x14ac:dyDescent="0.45"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33"/>
      <c r="AP379" s="34"/>
      <c r="AQ379" s="34"/>
      <c r="AR379" s="34"/>
    </row>
    <row r="380" spans="4:44" ht="19" customHeight="1" thickBot="1" x14ac:dyDescent="0.45">
      <c r="D380" s="21" t="s">
        <v>39</v>
      </c>
      <c r="E380" s="20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31"/>
      <c r="AP380" s="39">
        <v>3</v>
      </c>
      <c r="AQ380" s="39"/>
      <c r="AR380" s="39"/>
    </row>
    <row r="381" spans="4:44" ht="19" customHeight="1" thickBot="1" x14ac:dyDescent="0.45">
      <c r="D381" s="22" t="s">
        <v>40</v>
      </c>
      <c r="E381" s="20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31"/>
      <c r="AP381" s="39">
        <v>3</v>
      </c>
      <c r="AQ381" s="39"/>
      <c r="AR381" s="39"/>
    </row>
    <row r="382" spans="4:44" ht="19" customHeight="1" thickBot="1" x14ac:dyDescent="0.45">
      <c r="D382" s="22" t="s">
        <v>41</v>
      </c>
      <c r="E382" s="20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31"/>
      <c r="AP382" s="39">
        <v>2</v>
      </c>
      <c r="AQ382" s="39"/>
      <c r="AR382" s="39"/>
    </row>
    <row r="383" spans="4:44" ht="19" customHeight="1" thickBot="1" x14ac:dyDescent="0.45">
      <c r="D383" s="22" t="s">
        <v>42</v>
      </c>
      <c r="E383" s="20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31"/>
      <c r="AP383" s="39">
        <v>2</v>
      </c>
      <c r="AQ383" s="39"/>
      <c r="AR383" s="39"/>
    </row>
    <row r="384" spans="4:44" ht="19" customHeight="1" thickBot="1" x14ac:dyDescent="0.45"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32"/>
      <c r="AP384" s="26"/>
      <c r="AQ384" s="26"/>
      <c r="AR384" s="26"/>
    </row>
    <row r="385" spans="4:44" ht="19" customHeight="1" thickBot="1" x14ac:dyDescent="0.45">
      <c r="D385" s="21" t="s">
        <v>43</v>
      </c>
      <c r="E385" s="20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31"/>
      <c r="AP385" s="39">
        <v>2</v>
      </c>
      <c r="AQ385" s="39"/>
      <c r="AR385" s="39"/>
    </row>
    <row r="386" spans="4:44" ht="19" customHeight="1" thickBot="1" x14ac:dyDescent="0.45">
      <c r="D386" s="22" t="s">
        <v>44</v>
      </c>
      <c r="E386" s="20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31"/>
      <c r="AP386" s="39">
        <v>2</v>
      </c>
      <c r="AQ386" s="39"/>
      <c r="AR386" s="39"/>
    </row>
    <row r="387" spans="4:44" ht="19" customHeight="1" thickBot="1" x14ac:dyDescent="0.45">
      <c r="D387" s="22" t="s">
        <v>45</v>
      </c>
      <c r="E387" s="20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31"/>
      <c r="AP387" s="39">
        <v>1</v>
      </c>
      <c r="AQ387" s="39"/>
      <c r="AR387" s="39"/>
    </row>
    <row r="388" spans="4:44" ht="19" customHeight="1" thickBot="1" x14ac:dyDescent="0.45">
      <c r="D388" s="22" t="s">
        <v>46</v>
      </c>
      <c r="E388" s="20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31"/>
      <c r="AP388" s="39">
        <v>2</v>
      </c>
      <c r="AQ388" s="39"/>
      <c r="AR388" s="39"/>
    </row>
    <row r="389" spans="4:44" ht="19" customHeight="1" thickBot="1" x14ac:dyDescent="0.45">
      <c r="D389" s="22" t="s">
        <v>47</v>
      </c>
      <c r="E389" s="20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31"/>
      <c r="AP389" s="39">
        <v>2</v>
      </c>
      <c r="AQ389" s="39"/>
      <c r="AR389" s="39"/>
    </row>
    <row r="390" spans="4:44" ht="19" customHeight="1" thickBot="1" x14ac:dyDescent="0.45">
      <c r="D390" s="22" t="s">
        <v>48</v>
      </c>
      <c r="E390" s="20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31"/>
      <c r="AP390" s="39">
        <v>3</v>
      </c>
      <c r="AQ390" s="39"/>
      <c r="AR390" s="39"/>
    </row>
    <row r="391" spans="4:44" ht="19" customHeight="1" thickBot="1" x14ac:dyDescent="0.45">
      <c r="D391" s="22" t="s">
        <v>49</v>
      </c>
      <c r="E391" s="20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31"/>
      <c r="AP391" s="39">
        <v>2</v>
      </c>
      <c r="AQ391" s="39"/>
      <c r="AR391" s="39"/>
    </row>
    <row r="392" spans="4:44" ht="19" customHeight="1" thickBot="1" x14ac:dyDescent="0.45">
      <c r="D392" s="22" t="s">
        <v>50</v>
      </c>
      <c r="E392" s="20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31"/>
      <c r="AP392" s="39">
        <v>1</v>
      </c>
      <c r="AQ392" s="39"/>
      <c r="AR392" s="39"/>
    </row>
    <row r="393" spans="4:44" ht="19" customHeight="1" thickBot="1" x14ac:dyDescent="0.45">
      <c r="D393" s="22" t="s">
        <v>51</v>
      </c>
      <c r="E393" s="20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31"/>
      <c r="AP393" s="39">
        <v>1</v>
      </c>
      <c r="AQ393" s="39"/>
      <c r="AR393" s="39"/>
    </row>
    <row r="394" spans="4:44" ht="19" customHeight="1" thickBot="1" x14ac:dyDescent="0.45">
      <c r="D394" s="22" t="s">
        <v>52</v>
      </c>
      <c r="E394" s="20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31"/>
      <c r="AP394" s="39">
        <v>3</v>
      </c>
      <c r="AQ394" s="39"/>
      <c r="AR394" s="39"/>
    </row>
    <row r="395" spans="4:44" ht="19" customHeight="1" thickBot="1" x14ac:dyDescent="0.45">
      <c r="D395" s="22" t="s">
        <v>53</v>
      </c>
      <c r="E395" s="20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31"/>
      <c r="AP395" s="39">
        <v>2</v>
      </c>
      <c r="AQ395" s="39"/>
      <c r="AR395" s="39"/>
    </row>
    <row r="396" spans="4:44" ht="19" customHeight="1" thickBot="1" x14ac:dyDescent="0.45">
      <c r="D396" s="22" t="s">
        <v>54</v>
      </c>
      <c r="E396" s="20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31"/>
      <c r="AP396" s="39">
        <v>1</v>
      </c>
      <c r="AQ396" s="39"/>
      <c r="AR396" s="39"/>
    </row>
    <row r="397" spans="4:44" ht="19" customHeight="1" thickBot="1" x14ac:dyDescent="0.45">
      <c r="D397" s="22" t="s">
        <v>55</v>
      </c>
      <c r="E397" s="20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31"/>
      <c r="AP397" s="39">
        <v>1</v>
      </c>
      <c r="AQ397" s="39"/>
      <c r="AR397" s="39"/>
    </row>
    <row r="398" spans="4:44" ht="19" customHeight="1" thickBot="1" x14ac:dyDescent="0.45">
      <c r="D398" s="22" t="s">
        <v>56</v>
      </c>
      <c r="E398" s="20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31"/>
      <c r="AP398" s="39">
        <v>2</v>
      </c>
      <c r="AQ398" s="39"/>
      <c r="AR398" s="39"/>
    </row>
    <row r="399" spans="4:44" ht="19" customHeight="1" thickBot="1" x14ac:dyDescent="0.45">
      <c r="D399" s="22" t="s">
        <v>57</v>
      </c>
      <c r="E399" s="20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31"/>
      <c r="AP399" s="39">
        <v>2</v>
      </c>
      <c r="AQ399" s="39"/>
      <c r="AR399" s="39"/>
    </row>
    <row r="400" spans="4:44" ht="19" customHeight="1" x14ac:dyDescent="0.4">
      <c r="D400" s="8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30"/>
      <c r="AQ400" s="30"/>
      <c r="AR400" s="30"/>
    </row>
    <row r="401" spans="4:44" ht="19" customHeight="1" x14ac:dyDescent="0.4">
      <c r="D401" s="8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30"/>
      <c r="AQ401" s="30"/>
      <c r="AR401" s="30"/>
    </row>
    <row r="402" spans="4:44" ht="19" customHeight="1" x14ac:dyDescent="0.4">
      <c r="D402" s="8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30"/>
      <c r="AQ402" s="30"/>
      <c r="AR402" s="30"/>
    </row>
    <row r="403" spans="4:44" ht="19" customHeight="1" x14ac:dyDescent="0.4">
      <c r="D403" s="8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30"/>
      <c r="AQ403" s="30"/>
      <c r="AR403" s="30"/>
    </row>
    <row r="404" spans="4:44" ht="19" customHeight="1" x14ac:dyDescent="0.4">
      <c r="D404" s="8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30"/>
      <c r="AQ404" s="30"/>
      <c r="AR404" s="30"/>
    </row>
    <row r="405" spans="4:44" ht="19" customHeight="1" x14ac:dyDescent="0.4">
      <c r="D405" s="8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30"/>
      <c r="AQ405" s="30"/>
      <c r="AR405" s="30"/>
    </row>
    <row r="406" spans="4:44" ht="19" customHeight="1" x14ac:dyDescent="0.4">
      <c r="D406" s="9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30"/>
      <c r="AQ406" s="30"/>
      <c r="AR406" s="30"/>
    </row>
    <row r="407" spans="4:44" ht="19" customHeight="1" x14ac:dyDescent="0.4">
      <c r="D407" s="9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30"/>
      <c r="AQ407" s="30"/>
      <c r="AR407" s="30"/>
    </row>
    <row r="408" spans="4:44" ht="12" customHeight="1" x14ac:dyDescent="0.4"/>
    <row r="409" spans="4:44" s="10" customFormat="1" ht="19" customHeight="1" x14ac:dyDescent="0.4">
      <c r="D409" s="41">
        <f>DATE(CalendarYear,8,1)</f>
        <v>45870</v>
      </c>
      <c r="E409" s="16" t="str">
        <f>IF(DAY(AugSun1)=1,"",IF(AND(YEAR(AugSun1+1)=CalendarYear,MONTH(AugSun1+1)=8),AugSun1+1,""))</f>
        <v/>
      </c>
      <c r="F409" s="16" t="str">
        <f>IF(DAY(AugSun1)=1,"",IF(AND(YEAR(AugSun1+2)=CalendarYear,MONTH(AugSun1+2)=8),AugSun1+2,""))</f>
        <v/>
      </c>
      <c r="G409" s="16" t="str">
        <f>IF(DAY(AugSun1)=1,"",IF(AND(YEAR(AugSun1+3)=CalendarYear,MONTH(AugSun1+3)=8),AugSun1+3,""))</f>
        <v/>
      </c>
      <c r="H409" s="16" t="str">
        <f>IF(DAY(AugSun1)=1,"",IF(AND(YEAR(AugSun1+4)=CalendarYear,MONTH(AugSun1+4)=8),AugSun1+4,""))</f>
        <v/>
      </c>
      <c r="I409" s="16" t="str">
        <f>IF(DAY(AugSun1)=1,"",IF(AND(YEAR(AugSun1+5)=CalendarYear,MONTH(AugSun1+5)=8),AugSun1+5,""))</f>
        <v/>
      </c>
      <c r="J409" s="16">
        <f>IF(DAY(AugSun1)=1,"",IF(AND(YEAR(AugSun1+6)=CalendarYear,MONTH(AugSun1+6)=8),AugSun1+6,""))</f>
        <v>45870</v>
      </c>
      <c r="K409" s="16">
        <f>IF(DAY(AugSun1)=1,IF(AND(YEAR(AugSun1)=CalendarYear,MONTH(AugSun1)=8),AugSun1,""),IF(AND(YEAR(AugSun1+7)=CalendarYear,MONTH(AugSun1+7)=8),AugSun1+7,""))</f>
        <v>45871</v>
      </c>
      <c r="L409" s="16">
        <f>IF(DAY(AugSun1)=1,IF(AND(YEAR(AugSun1+1)=CalendarYear,MONTH(AugSun1+1)=8),AugSun1+1,""),IF(AND(YEAR(AugSun1+8)=CalendarYear,MONTH(AugSun1+8)=8),AugSun1+8,""))</f>
        <v>45872</v>
      </c>
      <c r="M409" s="16">
        <f>IF(DAY(AugSun1)=1,IF(AND(YEAR(AugSun1+2)=CalendarYear,MONTH(AugSun1+2)=8),AugSun1+2,""),IF(AND(YEAR(AugSun1+9)=CalendarYear,MONTH(AugSun1+9)=8),AugSun1+9,""))</f>
        <v>45873</v>
      </c>
      <c r="N409" s="16">
        <f>IF(DAY(AugSun1)=1,IF(AND(YEAR(AugSun1+3)=CalendarYear,MONTH(AugSun1+3)=8),AugSun1+3,""),IF(AND(YEAR(AugSun1+10)=CalendarYear,MONTH(AugSun1+10)=8),AugSun1+10,""))</f>
        <v>45874</v>
      </c>
      <c r="O409" s="16">
        <f>IF(DAY(AugSun1)=1,IF(AND(YEAR(AugSun1+4)=CalendarYear,MONTH(AugSun1+4)=8),AugSun1+4,""),IF(AND(YEAR(AugSun1+11)=CalendarYear,MONTH(AugSun1+11)=8),AugSun1+11,""))</f>
        <v>45875</v>
      </c>
      <c r="P409" s="16">
        <f>IF(DAY(AugSun1)=1,IF(AND(YEAR(AugSun1+5)=CalendarYear,MONTH(AugSun1+5)=8),AugSun1+5,""),IF(AND(YEAR(AugSun1+12)=CalendarYear,MONTH(AugSun1+12)=8),AugSun1+12,""))</f>
        <v>45876</v>
      </c>
      <c r="Q409" s="16">
        <f>IF(DAY(AugSun1)=1,IF(AND(YEAR(AugSun1+6)=CalendarYear,MONTH(AugSun1+6)=8),AugSun1+6,""),IF(AND(YEAR(AugSun1+13)=CalendarYear,MONTH(AugSun1+13)=8),AugSun1+13,""))</f>
        <v>45877</v>
      </c>
      <c r="R409" s="16">
        <f>IF(DAY(AugSun1)=1,IF(AND(YEAR(AugSun1+7)=CalendarYear,MONTH(AugSun1+7)=8),AugSun1+7,""),IF(AND(YEAR(AugSun1+14)=CalendarYear,MONTH(AugSun1+14)=8),AugSun1+14,""))</f>
        <v>45878</v>
      </c>
      <c r="S409" s="16">
        <f>IF(DAY(AugSun1)=1,IF(AND(YEAR(AugSun1+8)=CalendarYear,MONTH(AugSun1+8)=8),AugSun1+8,""),IF(AND(YEAR(AugSun1+15)=CalendarYear,MONTH(AugSun1+15)=8),AugSun1+15,""))</f>
        <v>45879</v>
      </c>
      <c r="T409" s="16">
        <f>IF(DAY(AugSun1)=1,IF(AND(YEAR(AugSun1+9)=CalendarYear,MONTH(AugSun1+9)=8),AugSun1+9,""),IF(AND(YEAR(AugSun1+16)=CalendarYear,MONTH(AugSun1+16)=8),AugSun1+16,""))</f>
        <v>45880</v>
      </c>
      <c r="U409" s="16">
        <f>IF(DAY(AugSun1)=1,IF(AND(YEAR(AugSun1+10)=CalendarYear,MONTH(AugSun1+10)=8),AugSun1+10,""),IF(AND(YEAR(AugSun1+17)=CalendarYear,MONTH(AugSun1+17)=8),AugSun1+17,""))</f>
        <v>45881</v>
      </c>
      <c r="V409" s="16">
        <f>IF(DAY(AugSun1)=1,IF(AND(YEAR(AugSun1+11)=CalendarYear,MONTH(AugSun1+11)=8),AugSun1+11,""),IF(AND(YEAR(AugSun1+18)=CalendarYear,MONTH(AugSun1+18)=8),AugSun1+18,""))</f>
        <v>45882</v>
      </c>
      <c r="W409" s="16">
        <f>IF(DAY(AugSun1)=1,IF(AND(YEAR(AugSun1+12)=CalendarYear,MONTH(AugSun1+12)=8),AugSun1+12,""),IF(AND(YEAR(AugSun1+19)=CalendarYear,MONTH(AugSun1+19)=8),AugSun1+19,""))</f>
        <v>45883</v>
      </c>
      <c r="X409" s="16">
        <f>IF(DAY(AugSun1)=1,IF(AND(YEAR(AugSun1+13)=CalendarYear,MONTH(AugSun1+13)=8),AugSun1+13,""),IF(AND(YEAR(AugSun1+20)=CalendarYear,MONTH(AugSun1+20)=8),AugSun1+20,""))</f>
        <v>45884</v>
      </c>
      <c r="Y409" s="16">
        <f>IF(DAY(AugSun1)=1,IF(AND(YEAR(AugSun1+14)=CalendarYear,MONTH(AugSun1+14)=8),AugSun1+14,""),IF(AND(YEAR(AugSun1+21)=CalendarYear,MONTH(AugSun1+21)=8),AugSun1+21,""))</f>
        <v>45885</v>
      </c>
      <c r="Z409" s="16">
        <f>IF(DAY(AugSun1)=1,IF(AND(YEAR(AugSun1+15)=CalendarYear,MONTH(AugSun1+15)=8),AugSun1+15,""),IF(AND(YEAR(AugSun1+22)=CalendarYear,MONTH(AugSun1+22)=8),AugSun1+22,""))</f>
        <v>45886</v>
      </c>
      <c r="AA409" s="16">
        <f>IF(DAY(AugSun1)=1,IF(AND(YEAR(AugSun1+16)=CalendarYear,MONTH(AugSun1+16)=8),AugSun1+16,""),IF(AND(YEAR(AugSun1+23)=CalendarYear,MONTH(AugSun1+23)=8),AugSun1+23,""))</f>
        <v>45887</v>
      </c>
      <c r="AB409" s="16">
        <f>IF(DAY(AugSun1)=1,IF(AND(YEAR(AugSun1+17)=CalendarYear,MONTH(AugSun1+17)=8),AugSun1+17,""),IF(AND(YEAR(AugSun1+24)=CalendarYear,MONTH(AugSun1+24)=8),AugSun1+24,""))</f>
        <v>45888</v>
      </c>
      <c r="AC409" s="16">
        <f>IF(DAY(AugSun1)=1,IF(AND(YEAR(AugSun1+18)=CalendarYear,MONTH(AugSun1+18)=8),AugSun1+18,""),IF(AND(YEAR(AugSun1+25)=CalendarYear,MONTH(AugSun1+25)=8),AugSun1+25,""))</f>
        <v>45889</v>
      </c>
      <c r="AD409" s="16">
        <f>IF(DAY(AugSun1)=1,IF(AND(YEAR(AugSun1+19)=CalendarYear,MONTH(AugSun1+19)=8),AugSun1+19,""),IF(AND(YEAR(AugSun1+26)=CalendarYear,MONTH(AugSun1+26)=8),AugSun1+26,""))</f>
        <v>45890</v>
      </c>
      <c r="AE409" s="16">
        <f>IF(DAY(AugSun1)=1,IF(AND(YEAR(AugSun1+20)=CalendarYear,MONTH(AugSun1+20)=8),AugSun1+20,""),IF(AND(YEAR(AugSun1+27)=CalendarYear,MONTH(AugSun1+27)=8),AugSun1+27,""))</f>
        <v>45891</v>
      </c>
      <c r="AF409" s="16">
        <f>IF(DAY(AugSun1)=1,IF(AND(YEAR(AugSun1+21)=CalendarYear,MONTH(AugSun1+21)=8),AugSun1+21,""),IF(AND(YEAR(AugSun1+28)=CalendarYear,MONTH(AugSun1+28)=8),AugSun1+28,""))</f>
        <v>45892</v>
      </c>
      <c r="AG409" s="16">
        <f>IF(DAY(AugSun1)=1,IF(AND(YEAR(AugSun1+22)=CalendarYear,MONTH(AugSun1+22)=8),AugSun1+22,""),IF(AND(YEAR(AugSun1+29)=CalendarYear,MONTH(AugSun1+29)=8),AugSun1+29,""))</f>
        <v>45893</v>
      </c>
      <c r="AH409" s="16">
        <f>IF(DAY(AugSun1)=1,IF(AND(YEAR(AugSun1+23)=CalendarYear,MONTH(AugSun1+23)=8),AugSun1+23,""),IF(AND(YEAR(AugSun1+30)=CalendarYear,MONTH(AugSun1+30)=8),AugSun1+30,""))</f>
        <v>45894</v>
      </c>
      <c r="AI409" s="16">
        <f>IF(DAY(AugSun1)=1,IF(AND(YEAR(AugSun1+24)=CalendarYear,MONTH(AugSun1+24)=8),AugSun1+24,""),IF(AND(YEAR(AugSun1+31)=CalendarYear,MONTH(AugSun1+31)=8),AugSun1+31,""))</f>
        <v>45895</v>
      </c>
      <c r="AJ409" s="16">
        <f>IF(DAY(AugSun1)=1,IF(AND(YEAR(AugSun1+25)=CalendarYear,MONTH(AugSun1+25)=8),AugSun1+25,""),IF(AND(YEAR(AugSun1+32)=CalendarYear,MONTH(AugSun1+32)=8),AugSun1+32,""))</f>
        <v>45896</v>
      </c>
      <c r="AK409" s="16">
        <f>IF(DAY(AugSun1)=1,IF(AND(YEAR(AugSun1+26)=CalendarYear,MONTH(AugSun1+26)=8),AugSun1+26,""),IF(AND(YEAR(AugSun1+33)=CalendarYear,MONTH(AugSun1+33)=8),AugSun1+33,""))</f>
        <v>45897</v>
      </c>
      <c r="AL409" s="16">
        <f>IF(DAY(AugSun1)=1,IF(AND(YEAR(AugSun1+27)=CalendarYear,MONTH(AugSun1+27)=8),AugSun1+27,""),IF(AND(YEAR(AugSun1+34)=CalendarYear,MONTH(AugSun1+34)=8),AugSun1+34,""))</f>
        <v>45898</v>
      </c>
      <c r="AM409" s="16">
        <f>IF(DAY(AugSun1)=1,IF(AND(YEAR(AugSun1+28)=CalendarYear,MONTH(AugSun1+28)=8),AugSun1+28,""),IF(AND(YEAR(AugSun1+35)=CalendarYear,MONTH(AugSun1+35)=8),AugSun1+35,""))</f>
        <v>45899</v>
      </c>
      <c r="AN409" s="16">
        <f>IF(DAY(AugSun1)=1,IF(AND(YEAR(AugSun1+29)=CalendarYear,MONTH(AugSun1+29)=8),AugSun1+29,""),IF(AND(YEAR(AugSun1+36)=CalendarYear,MONTH(AugSun1+36)=8),AugSun1+36,""))</f>
        <v>45900</v>
      </c>
      <c r="AO409" s="17" t="str">
        <f>IF(DAY(AugSun1)=1,IF(AND(YEAR(AugSun1+30)=CalendarYear,MONTH(AugSun1+30)=8),AugSun1+30,""),IF(AND(YEAR(AugSun1+37)=CalendarYear,MONTH(AugSun1+37)=8),AugSun1+37,""))</f>
        <v/>
      </c>
      <c r="AP409" s="29"/>
      <c r="AQ409" s="29"/>
      <c r="AR409" s="29"/>
    </row>
    <row r="410" spans="4:44" s="10" customFormat="1" ht="19" customHeight="1" thickBot="1" x14ac:dyDescent="0.45">
      <c r="D410" s="43"/>
      <c r="E410" s="18" t="s">
        <v>2</v>
      </c>
      <c r="F410" s="18" t="s">
        <v>3</v>
      </c>
      <c r="G410" s="18" t="s">
        <v>4</v>
      </c>
      <c r="H410" s="18" t="s">
        <v>5</v>
      </c>
      <c r="I410" s="18" t="s">
        <v>6</v>
      </c>
      <c r="J410" s="18" t="s">
        <v>7</v>
      </c>
      <c r="K410" s="18" t="s">
        <v>8</v>
      </c>
      <c r="L410" s="18" t="s">
        <v>2</v>
      </c>
      <c r="M410" s="18" t="s">
        <v>3</v>
      </c>
      <c r="N410" s="18" t="s">
        <v>4</v>
      </c>
      <c r="O410" s="18" t="s">
        <v>5</v>
      </c>
      <c r="P410" s="18" t="s">
        <v>6</v>
      </c>
      <c r="Q410" s="18" t="s">
        <v>7</v>
      </c>
      <c r="R410" s="18" t="s">
        <v>8</v>
      </c>
      <c r="S410" s="18" t="s">
        <v>2</v>
      </c>
      <c r="T410" s="18" t="s">
        <v>3</v>
      </c>
      <c r="U410" s="18" t="s">
        <v>4</v>
      </c>
      <c r="V410" s="18" t="s">
        <v>5</v>
      </c>
      <c r="W410" s="18" t="s">
        <v>6</v>
      </c>
      <c r="X410" s="18" t="s">
        <v>7</v>
      </c>
      <c r="Y410" s="18" t="s">
        <v>8</v>
      </c>
      <c r="Z410" s="18" t="s">
        <v>2</v>
      </c>
      <c r="AA410" s="18" t="s">
        <v>3</v>
      </c>
      <c r="AB410" s="18" t="s">
        <v>4</v>
      </c>
      <c r="AC410" s="18" t="s">
        <v>5</v>
      </c>
      <c r="AD410" s="18" t="s">
        <v>6</v>
      </c>
      <c r="AE410" s="18" t="s">
        <v>7</v>
      </c>
      <c r="AF410" s="18" t="s">
        <v>8</v>
      </c>
      <c r="AG410" s="18" t="s">
        <v>2</v>
      </c>
      <c r="AH410" s="18" t="s">
        <v>3</v>
      </c>
      <c r="AI410" s="18" t="s">
        <v>4</v>
      </c>
      <c r="AJ410" s="18" t="s">
        <v>5</v>
      </c>
      <c r="AK410" s="18" t="s">
        <v>6</v>
      </c>
      <c r="AL410" s="18" t="s">
        <v>7</v>
      </c>
      <c r="AM410" s="18" t="s">
        <v>8</v>
      </c>
      <c r="AN410" s="18" t="s">
        <v>2</v>
      </c>
      <c r="AO410" s="19" t="s">
        <v>3</v>
      </c>
      <c r="AP410" s="23"/>
      <c r="AQ410" s="23"/>
      <c r="AR410" s="23"/>
    </row>
    <row r="411" spans="4:44" ht="19" customHeight="1" thickBot="1" x14ac:dyDescent="0.45">
      <c r="D411" s="21" t="s">
        <v>10</v>
      </c>
      <c r="E411" s="20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31"/>
      <c r="AP411" s="39">
        <v>2</v>
      </c>
      <c r="AQ411" s="39"/>
      <c r="AR411" s="39"/>
    </row>
    <row r="412" spans="4:44" ht="19" customHeight="1" thickBot="1" x14ac:dyDescent="0.45">
      <c r="D412" s="22" t="s">
        <v>11</v>
      </c>
      <c r="E412" s="20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31"/>
      <c r="AP412" s="39">
        <v>32</v>
      </c>
      <c r="AQ412" s="39"/>
      <c r="AR412" s="39"/>
    </row>
    <row r="413" spans="4:44" ht="19" customHeight="1" thickBot="1" x14ac:dyDescent="0.45">
      <c r="D413" s="22" t="s">
        <v>12</v>
      </c>
      <c r="E413" s="20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31"/>
      <c r="AP413" s="39">
        <v>61</v>
      </c>
      <c r="AQ413" s="39"/>
      <c r="AR413" s="39"/>
    </row>
    <row r="414" spans="4:44" ht="19" customHeight="1" thickBot="1" x14ac:dyDescent="0.45">
      <c r="D414" s="22" t="s">
        <v>13</v>
      </c>
      <c r="E414" s="20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31"/>
      <c r="AP414" s="39">
        <v>7</v>
      </c>
      <c r="AQ414" s="39"/>
      <c r="AR414" s="39"/>
    </row>
    <row r="415" spans="4:44" ht="19" customHeight="1" thickBot="1" x14ac:dyDescent="0.45">
      <c r="D415" s="22" t="s">
        <v>14</v>
      </c>
      <c r="E415" s="20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31"/>
      <c r="AP415" s="39">
        <v>7</v>
      </c>
      <c r="AQ415" s="39"/>
      <c r="AR415" s="39"/>
    </row>
    <row r="416" spans="4:44" ht="19" customHeight="1" thickBot="1" x14ac:dyDescent="0.45">
      <c r="D416" s="22" t="s">
        <v>15</v>
      </c>
      <c r="E416" s="20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31"/>
      <c r="AP416" s="39">
        <v>10</v>
      </c>
      <c r="AQ416" s="39"/>
      <c r="AR416" s="39"/>
    </row>
    <row r="417" spans="4:44" ht="19" customHeight="1" thickBot="1" x14ac:dyDescent="0.45">
      <c r="D417" s="22" t="s">
        <v>16</v>
      </c>
      <c r="E417" s="20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31"/>
      <c r="AP417" s="39">
        <v>2</v>
      </c>
      <c r="AQ417" s="39"/>
      <c r="AR417" s="39"/>
    </row>
    <row r="418" spans="4:44" ht="19" customHeight="1" thickBot="1" x14ac:dyDescent="0.45">
      <c r="D418" s="22" t="s">
        <v>17</v>
      </c>
      <c r="E418" s="20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31"/>
      <c r="AP418" s="39">
        <v>4</v>
      </c>
      <c r="AQ418" s="39"/>
      <c r="AR418" s="39"/>
    </row>
    <row r="419" spans="4:44" ht="19" customHeight="1" thickBot="1" x14ac:dyDescent="0.45">
      <c r="D419" s="22" t="s">
        <v>18</v>
      </c>
      <c r="E419" s="20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31"/>
      <c r="AP419" s="39">
        <v>2</v>
      </c>
      <c r="AQ419" s="39"/>
      <c r="AR419" s="39"/>
    </row>
    <row r="420" spans="4:44" ht="19" customHeight="1" thickBot="1" x14ac:dyDescent="0.45">
      <c r="D420" s="22" t="s">
        <v>19</v>
      </c>
      <c r="E420" s="20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31"/>
      <c r="AP420" s="39">
        <v>6</v>
      </c>
      <c r="AQ420" s="39"/>
      <c r="AR420" s="39"/>
    </row>
    <row r="421" spans="4:44" ht="19" customHeight="1" thickBot="1" x14ac:dyDescent="0.45">
      <c r="D421" s="22" t="s">
        <v>20</v>
      </c>
      <c r="E421" s="20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31"/>
      <c r="AP421" s="39">
        <v>13</v>
      </c>
      <c r="AQ421" s="39"/>
      <c r="AR421" s="39"/>
    </row>
    <row r="422" spans="4:44" ht="19" customHeight="1" thickBot="1" x14ac:dyDescent="0.45">
      <c r="D422" s="22" t="s">
        <v>21</v>
      </c>
      <c r="E422" s="20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31"/>
      <c r="AP422" s="39">
        <v>1</v>
      </c>
      <c r="AQ422" s="39"/>
      <c r="AR422" s="39"/>
    </row>
    <row r="423" spans="4:44" ht="19" customHeight="1" thickBot="1" x14ac:dyDescent="0.45">
      <c r="D423" s="22" t="s">
        <v>22</v>
      </c>
      <c r="E423" s="20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31"/>
      <c r="AP423" s="39">
        <v>6</v>
      </c>
      <c r="AQ423" s="39"/>
      <c r="AR423" s="39"/>
    </row>
    <row r="424" spans="4:44" ht="19" customHeight="1" thickBot="1" x14ac:dyDescent="0.45"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</row>
    <row r="425" spans="4:44" ht="19" customHeight="1" thickBot="1" x14ac:dyDescent="0.45">
      <c r="D425" s="21" t="s">
        <v>23</v>
      </c>
      <c r="E425" s="20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31"/>
      <c r="AP425" s="39" t="s">
        <v>24</v>
      </c>
      <c r="AQ425" s="39"/>
      <c r="AR425" s="39"/>
    </row>
    <row r="426" spans="4:44" ht="19" customHeight="1" thickBot="1" x14ac:dyDescent="0.45">
      <c r="D426" s="22" t="s">
        <v>25</v>
      </c>
      <c r="E426" s="20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31"/>
      <c r="AP426" s="39" t="s">
        <v>26</v>
      </c>
      <c r="AQ426" s="39"/>
      <c r="AR426" s="39"/>
    </row>
    <row r="427" spans="4:44" ht="19" customHeight="1" thickBot="1" x14ac:dyDescent="0.45">
      <c r="D427" s="22" t="s">
        <v>27</v>
      </c>
      <c r="E427" s="20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31"/>
      <c r="AP427" s="39" t="s">
        <v>28</v>
      </c>
      <c r="AQ427" s="39"/>
      <c r="AR427" s="39"/>
    </row>
    <row r="428" spans="4:44" ht="19" customHeight="1" thickBot="1" x14ac:dyDescent="0.45">
      <c r="D428" s="22" t="s">
        <v>29</v>
      </c>
      <c r="E428" s="20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31"/>
      <c r="AP428" s="39">
        <v>34</v>
      </c>
      <c r="AQ428" s="39"/>
      <c r="AR428" s="39"/>
    </row>
    <row r="429" spans="4:44" ht="19" customHeight="1" thickBot="1" x14ac:dyDescent="0.45">
      <c r="D429" s="22" t="s">
        <v>30</v>
      </c>
      <c r="E429" s="20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31"/>
      <c r="AP429" s="39">
        <v>13</v>
      </c>
      <c r="AQ429" s="39"/>
      <c r="AR429" s="39"/>
    </row>
    <row r="430" spans="4:44" ht="19" customHeight="1" thickBot="1" x14ac:dyDescent="0.45">
      <c r="D430" s="22" t="s">
        <v>31</v>
      </c>
      <c r="E430" s="20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31"/>
      <c r="AP430" s="39">
        <v>16</v>
      </c>
      <c r="AQ430" s="39"/>
      <c r="AR430" s="39"/>
    </row>
    <row r="431" spans="4:44" ht="19" customHeight="1" thickBot="1" x14ac:dyDescent="0.45">
      <c r="D431" s="22" t="s">
        <v>32</v>
      </c>
      <c r="E431" s="20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31"/>
      <c r="AP431" s="39">
        <v>15</v>
      </c>
      <c r="AQ431" s="39"/>
      <c r="AR431" s="39"/>
    </row>
    <row r="432" spans="4:44" ht="19" customHeight="1" thickBot="1" x14ac:dyDescent="0.45"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32"/>
      <c r="AP432" s="26"/>
      <c r="AQ432" s="26"/>
      <c r="AR432" s="26"/>
    </row>
    <row r="433" spans="4:44" ht="19" customHeight="1" thickBot="1" x14ac:dyDescent="0.45">
      <c r="D433" s="21" t="s">
        <v>33</v>
      </c>
      <c r="E433" s="20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31"/>
      <c r="AP433" s="39">
        <v>3</v>
      </c>
      <c r="AQ433" s="39"/>
      <c r="AR433" s="39"/>
    </row>
    <row r="434" spans="4:44" ht="19" customHeight="1" thickBot="1" x14ac:dyDescent="0.45">
      <c r="D434" s="22" t="s">
        <v>34</v>
      </c>
      <c r="E434" s="20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31"/>
      <c r="AP434" s="39">
        <v>7</v>
      </c>
      <c r="AQ434" s="39"/>
      <c r="AR434" s="39"/>
    </row>
    <row r="435" spans="4:44" ht="19" customHeight="1" thickBot="1" x14ac:dyDescent="0.45">
      <c r="D435" s="22" t="s">
        <v>35</v>
      </c>
      <c r="E435" s="20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31"/>
      <c r="AP435" s="39">
        <v>2</v>
      </c>
      <c r="AQ435" s="39"/>
      <c r="AR435" s="39"/>
    </row>
    <row r="436" spans="4:44" ht="19" customHeight="1" thickBot="1" x14ac:dyDescent="0.45">
      <c r="D436" s="22" t="s">
        <v>36</v>
      </c>
      <c r="E436" s="20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31"/>
      <c r="AP436" s="39">
        <v>4</v>
      </c>
      <c r="AQ436" s="39"/>
      <c r="AR436" s="39"/>
    </row>
    <row r="437" spans="4:44" ht="19" customHeight="1" thickBot="1" x14ac:dyDescent="0.45">
      <c r="D437" s="22" t="s">
        <v>37</v>
      </c>
      <c r="E437" s="20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31"/>
      <c r="AP437" s="39">
        <v>2</v>
      </c>
      <c r="AQ437" s="39"/>
      <c r="AR437" s="39"/>
    </row>
    <row r="438" spans="4:44" ht="19" customHeight="1" thickBot="1" x14ac:dyDescent="0.45">
      <c r="D438" s="22" t="s">
        <v>38</v>
      </c>
      <c r="E438" s="20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31"/>
      <c r="AP438" s="39">
        <v>8</v>
      </c>
      <c r="AQ438" s="39"/>
      <c r="AR438" s="39"/>
    </row>
    <row r="439" spans="4:44" ht="19" customHeight="1" thickBot="1" x14ac:dyDescent="0.45"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33"/>
      <c r="AP439" s="34"/>
      <c r="AQ439" s="34"/>
      <c r="AR439" s="34"/>
    </row>
    <row r="440" spans="4:44" ht="19" customHeight="1" thickBot="1" x14ac:dyDescent="0.45">
      <c r="D440" s="21" t="s">
        <v>39</v>
      </c>
      <c r="E440" s="20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31"/>
      <c r="AP440" s="39">
        <v>3</v>
      </c>
      <c r="AQ440" s="39"/>
      <c r="AR440" s="39"/>
    </row>
    <row r="441" spans="4:44" ht="19" customHeight="1" thickBot="1" x14ac:dyDescent="0.45">
      <c r="D441" s="22" t="s">
        <v>40</v>
      </c>
      <c r="E441" s="20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31"/>
      <c r="AP441" s="39">
        <v>3</v>
      </c>
      <c r="AQ441" s="39"/>
      <c r="AR441" s="39"/>
    </row>
    <row r="442" spans="4:44" ht="19" customHeight="1" thickBot="1" x14ac:dyDescent="0.45">
      <c r="D442" s="22" t="s">
        <v>41</v>
      </c>
      <c r="E442" s="20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31"/>
      <c r="AP442" s="39">
        <v>2</v>
      </c>
      <c r="AQ442" s="39"/>
      <c r="AR442" s="39"/>
    </row>
    <row r="443" spans="4:44" ht="19" customHeight="1" thickBot="1" x14ac:dyDescent="0.45">
      <c r="D443" s="22" t="s">
        <v>42</v>
      </c>
      <c r="E443" s="20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31"/>
      <c r="AP443" s="39">
        <v>2</v>
      </c>
      <c r="AQ443" s="39"/>
      <c r="AR443" s="39"/>
    </row>
    <row r="444" spans="4:44" ht="19" customHeight="1" thickBot="1" x14ac:dyDescent="0.45"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32"/>
      <c r="AP444" s="26"/>
      <c r="AQ444" s="26"/>
      <c r="AR444" s="26"/>
    </row>
    <row r="445" spans="4:44" ht="19" customHeight="1" thickBot="1" x14ac:dyDescent="0.45">
      <c r="D445" s="21" t="s">
        <v>43</v>
      </c>
      <c r="E445" s="20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31"/>
      <c r="AP445" s="39">
        <v>2</v>
      </c>
      <c r="AQ445" s="39"/>
      <c r="AR445" s="39"/>
    </row>
    <row r="446" spans="4:44" ht="19" customHeight="1" thickBot="1" x14ac:dyDescent="0.45">
      <c r="D446" s="22" t="s">
        <v>44</v>
      </c>
      <c r="E446" s="20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31"/>
      <c r="AP446" s="39">
        <v>2</v>
      </c>
      <c r="AQ446" s="39"/>
      <c r="AR446" s="39"/>
    </row>
    <row r="447" spans="4:44" ht="19" customHeight="1" thickBot="1" x14ac:dyDescent="0.45">
      <c r="D447" s="22" t="s">
        <v>45</v>
      </c>
      <c r="E447" s="20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31"/>
      <c r="AP447" s="39">
        <v>1</v>
      </c>
      <c r="AQ447" s="39"/>
      <c r="AR447" s="39"/>
    </row>
    <row r="448" spans="4:44" ht="19" customHeight="1" thickBot="1" x14ac:dyDescent="0.45">
      <c r="D448" s="22" t="s">
        <v>46</v>
      </c>
      <c r="E448" s="20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31"/>
      <c r="AP448" s="39">
        <v>2</v>
      </c>
      <c r="AQ448" s="39"/>
      <c r="AR448" s="39"/>
    </row>
    <row r="449" spans="4:44" ht="19" customHeight="1" thickBot="1" x14ac:dyDescent="0.45">
      <c r="D449" s="22" t="s">
        <v>47</v>
      </c>
      <c r="E449" s="20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31"/>
      <c r="AP449" s="39">
        <v>2</v>
      </c>
      <c r="AQ449" s="39"/>
      <c r="AR449" s="39"/>
    </row>
    <row r="450" spans="4:44" ht="19" customHeight="1" thickBot="1" x14ac:dyDescent="0.45">
      <c r="D450" s="22" t="s">
        <v>48</v>
      </c>
      <c r="E450" s="20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31"/>
      <c r="AP450" s="39">
        <v>3</v>
      </c>
      <c r="AQ450" s="39"/>
      <c r="AR450" s="39"/>
    </row>
    <row r="451" spans="4:44" ht="19" customHeight="1" thickBot="1" x14ac:dyDescent="0.45">
      <c r="D451" s="22" t="s">
        <v>49</v>
      </c>
      <c r="E451" s="20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31"/>
      <c r="AP451" s="39">
        <v>2</v>
      </c>
      <c r="AQ451" s="39"/>
      <c r="AR451" s="39"/>
    </row>
    <row r="452" spans="4:44" ht="19" customHeight="1" thickBot="1" x14ac:dyDescent="0.45">
      <c r="D452" s="22" t="s">
        <v>50</v>
      </c>
      <c r="E452" s="20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31"/>
      <c r="AP452" s="39">
        <v>1</v>
      </c>
      <c r="AQ452" s="39"/>
      <c r="AR452" s="39"/>
    </row>
    <row r="453" spans="4:44" ht="19" customHeight="1" thickBot="1" x14ac:dyDescent="0.45">
      <c r="D453" s="22" t="s">
        <v>51</v>
      </c>
      <c r="E453" s="20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31"/>
      <c r="AP453" s="39">
        <v>1</v>
      </c>
      <c r="AQ453" s="39"/>
      <c r="AR453" s="39"/>
    </row>
    <row r="454" spans="4:44" ht="19" customHeight="1" thickBot="1" x14ac:dyDescent="0.45">
      <c r="D454" s="22" t="s">
        <v>52</v>
      </c>
      <c r="E454" s="20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31"/>
      <c r="AP454" s="39">
        <v>3</v>
      </c>
      <c r="AQ454" s="39"/>
      <c r="AR454" s="39"/>
    </row>
    <row r="455" spans="4:44" ht="19" customHeight="1" thickBot="1" x14ac:dyDescent="0.45">
      <c r="D455" s="22" t="s">
        <v>53</v>
      </c>
      <c r="E455" s="20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31"/>
      <c r="AP455" s="39">
        <v>2</v>
      </c>
      <c r="AQ455" s="39"/>
      <c r="AR455" s="39"/>
    </row>
    <row r="456" spans="4:44" ht="19" customHeight="1" thickBot="1" x14ac:dyDescent="0.45">
      <c r="D456" s="22" t="s">
        <v>54</v>
      </c>
      <c r="E456" s="20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31"/>
      <c r="AP456" s="39">
        <v>1</v>
      </c>
      <c r="AQ456" s="39"/>
      <c r="AR456" s="39"/>
    </row>
    <row r="457" spans="4:44" ht="19" customHeight="1" thickBot="1" x14ac:dyDescent="0.45">
      <c r="D457" s="22" t="s">
        <v>55</v>
      </c>
      <c r="E457" s="20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31"/>
      <c r="AP457" s="39">
        <v>1</v>
      </c>
      <c r="AQ457" s="39"/>
      <c r="AR457" s="39"/>
    </row>
    <row r="458" spans="4:44" ht="19" customHeight="1" thickBot="1" x14ac:dyDescent="0.45">
      <c r="D458" s="22" t="s">
        <v>56</v>
      </c>
      <c r="E458" s="20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31"/>
      <c r="AP458" s="39">
        <v>2</v>
      </c>
      <c r="AQ458" s="39"/>
      <c r="AR458" s="39"/>
    </row>
    <row r="459" spans="4:44" ht="19" customHeight="1" thickBot="1" x14ac:dyDescent="0.45">
      <c r="D459" s="22" t="s">
        <v>57</v>
      </c>
      <c r="E459" s="20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31"/>
      <c r="AP459" s="39">
        <v>2</v>
      </c>
      <c r="AQ459" s="39"/>
      <c r="AR459" s="39"/>
    </row>
    <row r="460" spans="4:44" ht="19" customHeight="1" x14ac:dyDescent="0.4">
      <c r="D460" s="8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30"/>
      <c r="AQ460" s="30"/>
      <c r="AR460" s="30"/>
    </row>
    <row r="461" spans="4:44" ht="19" customHeight="1" x14ac:dyDescent="0.4">
      <c r="D461" s="8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30"/>
      <c r="AQ461" s="30"/>
      <c r="AR461" s="30"/>
    </row>
    <row r="462" spans="4:44" ht="19" customHeight="1" x14ac:dyDescent="0.4">
      <c r="D462" s="8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30"/>
      <c r="AQ462" s="30"/>
      <c r="AR462" s="30"/>
    </row>
    <row r="463" spans="4:44" ht="19" customHeight="1" x14ac:dyDescent="0.4">
      <c r="D463" s="8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30"/>
      <c r="AQ463" s="30"/>
      <c r="AR463" s="30"/>
    </row>
    <row r="464" spans="4:44" ht="19" customHeight="1" x14ac:dyDescent="0.4">
      <c r="D464" s="8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30"/>
      <c r="AQ464" s="30"/>
      <c r="AR464" s="30"/>
    </row>
    <row r="465" spans="4:44" ht="19" customHeight="1" x14ac:dyDescent="0.4">
      <c r="D465" s="8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30"/>
      <c r="AQ465" s="30"/>
      <c r="AR465" s="30"/>
    </row>
    <row r="466" spans="4:44" ht="19" customHeight="1" x14ac:dyDescent="0.4">
      <c r="D466" s="9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30"/>
      <c r="AQ466" s="30"/>
      <c r="AR466" s="30"/>
    </row>
    <row r="467" spans="4:44" ht="19" customHeight="1" x14ac:dyDescent="0.4">
      <c r="D467" s="9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30"/>
      <c r="AQ467" s="30"/>
      <c r="AR467" s="30"/>
    </row>
    <row r="468" spans="4:44" ht="12" customHeight="1" x14ac:dyDescent="0.4"/>
    <row r="469" spans="4:44" s="10" customFormat="1" ht="19" customHeight="1" x14ac:dyDescent="0.4">
      <c r="D469" s="41">
        <f>DATE(CalendarYear,9,1)</f>
        <v>45901</v>
      </c>
      <c r="E469" s="16" t="str">
        <f>IF(DAY(SepSun1)=1,"",IF(AND(YEAR(SepSun1+1)=CalendarYear,MONTH(SepSun1+1)=9),SepSun1+1,""))</f>
        <v/>
      </c>
      <c r="F469" s="16">
        <f>IF(DAY(SepSun1)=1,"",IF(AND(YEAR(SepSun1+2)=CalendarYear,MONTH(SepSun1+2)=9),SepSun1+2,""))</f>
        <v>45901</v>
      </c>
      <c r="G469" s="16">
        <f>IF(DAY(SepSun1)=1,"",IF(AND(YEAR(SepSun1+3)=CalendarYear,MONTH(SepSun1+3)=9),SepSun1+3,""))</f>
        <v>45902</v>
      </c>
      <c r="H469" s="16">
        <f>IF(DAY(SepSun1)=1,"",IF(AND(YEAR(SepSun1+4)=CalendarYear,MONTH(SepSun1+4)=9),SepSun1+4,""))</f>
        <v>45903</v>
      </c>
      <c r="I469" s="16">
        <f>IF(DAY(SepSun1)=1,"",IF(AND(YEAR(SepSun1+5)=CalendarYear,MONTH(SepSun1+5)=9),SepSun1+5,""))</f>
        <v>45904</v>
      </c>
      <c r="J469" s="16">
        <f>IF(DAY(SepSun1)=1,"",IF(AND(YEAR(SepSun1+6)=CalendarYear,MONTH(SepSun1+6)=9),SepSun1+6,""))</f>
        <v>45905</v>
      </c>
      <c r="K469" s="16">
        <f>IF(DAY(SepSun1)=1,IF(AND(YEAR(SepSun1)=CalendarYear,MONTH(SepSun1)=9),SepSun1,""),IF(AND(YEAR(SepSun1+7)=CalendarYear,MONTH(SepSun1+7)=9),SepSun1+7,""))</f>
        <v>45906</v>
      </c>
      <c r="L469" s="16">
        <f>IF(DAY(SepSun1)=1,IF(AND(YEAR(SepSun1+1)=CalendarYear,MONTH(SepSun1+1)=9),SepSun1+1,""),IF(AND(YEAR(SepSun1+8)=CalendarYear,MONTH(SepSun1+8)=9),SepSun1+8,""))</f>
        <v>45907</v>
      </c>
      <c r="M469" s="16">
        <f>IF(DAY(SepSun1)=1,IF(AND(YEAR(SepSun1+2)=CalendarYear,MONTH(SepSun1+2)=9),SepSun1+2,""),IF(AND(YEAR(SepSun1+9)=CalendarYear,MONTH(SepSun1+9)=9),SepSun1+9,""))</f>
        <v>45908</v>
      </c>
      <c r="N469" s="16">
        <f>IF(DAY(SepSun1)=1,IF(AND(YEAR(SepSun1+3)=CalendarYear,MONTH(SepSun1+3)=9),SepSun1+3,""),IF(AND(YEAR(SepSun1+10)=CalendarYear,MONTH(SepSun1+10)=9),SepSun1+10,""))</f>
        <v>45909</v>
      </c>
      <c r="O469" s="16">
        <f>IF(DAY(SepSun1)=1,IF(AND(YEAR(SepSun1+4)=CalendarYear,MONTH(SepSun1+4)=9),SepSun1+4,""),IF(AND(YEAR(SepSun1+11)=CalendarYear,MONTH(SepSun1+11)=9),SepSun1+11,""))</f>
        <v>45910</v>
      </c>
      <c r="P469" s="16">
        <f>IF(DAY(SepSun1)=1,IF(AND(YEAR(SepSun1+5)=CalendarYear,MONTH(SepSun1+5)=9),SepSun1+5,""),IF(AND(YEAR(SepSun1+12)=CalendarYear,MONTH(SepSun1+12)=9),SepSun1+12,""))</f>
        <v>45911</v>
      </c>
      <c r="Q469" s="16">
        <f>IF(DAY(SepSun1)=1,IF(AND(YEAR(SepSun1+6)=CalendarYear,MONTH(SepSun1+6)=9),SepSun1+6,""),IF(AND(YEAR(SepSun1+13)=CalendarYear,MONTH(SepSun1+13)=9),SepSun1+13,""))</f>
        <v>45912</v>
      </c>
      <c r="R469" s="16">
        <f>IF(DAY(SepSun1)=1,IF(AND(YEAR(SepSun1+7)=CalendarYear,MONTH(SepSun1+7)=9),SepSun1+7,""),IF(AND(YEAR(SepSun1+14)=CalendarYear,MONTH(SepSun1+14)=9),SepSun1+14,""))</f>
        <v>45913</v>
      </c>
      <c r="S469" s="16">
        <f>IF(DAY(SepSun1)=1,IF(AND(YEAR(SepSun1+8)=CalendarYear,MONTH(SepSun1+8)=9),SepSun1+8,""),IF(AND(YEAR(SepSun1+15)=CalendarYear,MONTH(SepSun1+15)=9),SepSun1+15,""))</f>
        <v>45914</v>
      </c>
      <c r="T469" s="16">
        <f>IF(DAY(SepSun1)=1,IF(AND(YEAR(SepSun1+9)=CalendarYear,MONTH(SepSun1+9)=9),SepSun1+9,""),IF(AND(YEAR(SepSun1+16)=CalendarYear,MONTH(SepSun1+16)=9),SepSun1+16,""))</f>
        <v>45915</v>
      </c>
      <c r="U469" s="16">
        <f>IF(DAY(SepSun1)=1,IF(AND(YEAR(SepSun1+10)=CalendarYear,MONTH(SepSun1+10)=9),SepSun1+10,""),IF(AND(YEAR(SepSun1+17)=CalendarYear,MONTH(SepSun1+17)=9),SepSun1+17,""))</f>
        <v>45916</v>
      </c>
      <c r="V469" s="16">
        <f>IF(DAY(SepSun1)=1,IF(AND(YEAR(SepSun1+11)=CalendarYear,MONTH(SepSun1+11)=9),SepSun1+11,""),IF(AND(YEAR(SepSun1+18)=CalendarYear,MONTH(SepSun1+18)=9),SepSun1+18,""))</f>
        <v>45917</v>
      </c>
      <c r="W469" s="16">
        <f>IF(DAY(SepSun1)=1,IF(AND(YEAR(SepSun1+12)=CalendarYear,MONTH(SepSun1+12)=9),SepSun1+12,""),IF(AND(YEAR(SepSun1+19)=CalendarYear,MONTH(SepSun1+19)=9),SepSun1+19,""))</f>
        <v>45918</v>
      </c>
      <c r="X469" s="16">
        <f>IF(DAY(SepSun1)=1,IF(AND(YEAR(SepSun1+13)=CalendarYear,MONTH(SepSun1+13)=9),SepSun1+13,""),IF(AND(YEAR(SepSun1+20)=CalendarYear,MONTH(SepSun1+20)=9),SepSun1+20,""))</f>
        <v>45919</v>
      </c>
      <c r="Y469" s="16">
        <f>IF(DAY(SepSun1)=1,IF(AND(YEAR(SepSun1+14)=CalendarYear,MONTH(SepSun1+14)=9),SepSun1+14,""),IF(AND(YEAR(SepSun1+21)=CalendarYear,MONTH(SepSun1+21)=9),SepSun1+21,""))</f>
        <v>45920</v>
      </c>
      <c r="Z469" s="16">
        <f>IF(DAY(SepSun1)=1,IF(AND(YEAR(SepSun1+15)=CalendarYear,MONTH(SepSun1+15)=9),SepSun1+15,""),IF(AND(YEAR(SepSun1+22)=CalendarYear,MONTH(SepSun1+22)=9),SepSun1+22,""))</f>
        <v>45921</v>
      </c>
      <c r="AA469" s="16">
        <f>IF(DAY(SepSun1)=1,IF(AND(YEAR(SepSun1+16)=CalendarYear,MONTH(SepSun1+16)=9),SepSun1+16,""),IF(AND(YEAR(SepSun1+23)=CalendarYear,MONTH(SepSun1+23)=9),SepSun1+23,""))</f>
        <v>45922</v>
      </c>
      <c r="AB469" s="16">
        <f>IF(DAY(SepSun1)=1,IF(AND(YEAR(SepSun1+17)=CalendarYear,MONTH(SepSun1+17)=9),SepSun1+17,""),IF(AND(YEAR(SepSun1+24)=CalendarYear,MONTH(SepSun1+24)=9),SepSun1+24,""))</f>
        <v>45923</v>
      </c>
      <c r="AC469" s="16">
        <f>IF(DAY(SepSun1)=1,IF(AND(YEAR(SepSun1+18)=CalendarYear,MONTH(SepSun1+18)=9),SepSun1+18,""),IF(AND(YEAR(SepSun1+25)=CalendarYear,MONTH(SepSun1+25)=9),SepSun1+25,""))</f>
        <v>45924</v>
      </c>
      <c r="AD469" s="16">
        <f>IF(DAY(SepSun1)=1,IF(AND(YEAR(SepSun1+19)=CalendarYear,MONTH(SepSun1+19)=9),SepSun1+19,""),IF(AND(YEAR(SepSun1+26)=CalendarYear,MONTH(SepSun1+26)=9),SepSun1+26,""))</f>
        <v>45925</v>
      </c>
      <c r="AE469" s="16">
        <f>IF(DAY(SepSun1)=1,IF(AND(YEAR(SepSun1+20)=CalendarYear,MONTH(SepSun1+20)=9),SepSun1+20,""),IF(AND(YEAR(SepSun1+27)=CalendarYear,MONTH(SepSun1+27)=9),SepSun1+27,""))</f>
        <v>45926</v>
      </c>
      <c r="AF469" s="16">
        <f>IF(DAY(SepSun1)=1,IF(AND(YEAR(SepSun1+21)=CalendarYear,MONTH(SepSun1+21)=9),SepSun1+21,""),IF(AND(YEAR(SepSun1+28)=CalendarYear,MONTH(SepSun1+28)=9),SepSun1+28,""))</f>
        <v>45927</v>
      </c>
      <c r="AG469" s="16">
        <f>IF(DAY(SepSun1)=1,IF(AND(YEAR(SepSun1+22)=CalendarYear,MONTH(SepSun1+22)=9),SepSun1+22,""),IF(AND(YEAR(SepSun1+29)=CalendarYear,MONTH(SepSun1+29)=9),SepSun1+29,""))</f>
        <v>45928</v>
      </c>
      <c r="AH469" s="16">
        <f>IF(DAY(SepSun1)=1,IF(AND(YEAR(SepSun1+23)=CalendarYear,MONTH(SepSun1+23)=9),SepSun1+23,""),IF(AND(YEAR(SepSun1+30)=CalendarYear,MONTH(SepSun1+30)=9),SepSun1+30,""))</f>
        <v>45929</v>
      </c>
      <c r="AI469" s="16">
        <f>IF(DAY(SepSun1)=1,IF(AND(YEAR(SepSun1+24)=CalendarYear,MONTH(SepSun1+24)=9),SepSun1+24,""),IF(AND(YEAR(SepSun1+31)=CalendarYear,MONTH(SepSun1+31)=9),SepSun1+31,""))</f>
        <v>45930</v>
      </c>
      <c r="AJ469" s="16" t="str">
        <f>IF(DAY(SepSun1)=1,IF(AND(YEAR(SepSun1+25)=CalendarYear,MONTH(SepSun1+25)=9),SepSun1+25,""),IF(AND(YEAR(SepSun1+32)=CalendarYear,MONTH(SepSun1+32)=9),SepSun1+32,""))</f>
        <v/>
      </c>
      <c r="AK469" s="16" t="str">
        <f>IF(DAY(SepSun1)=1,IF(AND(YEAR(SepSun1+26)=CalendarYear,MONTH(SepSun1+26)=9),SepSun1+26,""),IF(AND(YEAR(SepSun1+33)=CalendarYear,MONTH(SepSun1+33)=9),SepSun1+33,""))</f>
        <v/>
      </c>
      <c r="AL469" s="16" t="str">
        <f>IF(DAY(SepSun1)=1,IF(AND(YEAR(SepSun1+27)=CalendarYear,MONTH(SepSun1+27)=9),SepSun1+27,""),IF(AND(YEAR(SepSun1+34)=CalendarYear,MONTH(SepSun1+34)=9),SepSun1+34,""))</f>
        <v/>
      </c>
      <c r="AM469" s="16" t="str">
        <f>IF(DAY(SepSun1)=1,IF(AND(YEAR(SepSun1+28)=CalendarYear,MONTH(SepSun1+28)=9),SepSun1+28,""),IF(AND(YEAR(SepSun1+35)=CalendarYear,MONTH(SepSun1+35)=9),SepSun1+35,""))</f>
        <v/>
      </c>
      <c r="AN469" s="16" t="str">
        <f>IF(DAY(SepSun1)=1,IF(AND(YEAR(SepSun1+29)=CalendarYear,MONTH(SepSun1+29)=9),SepSun1+29,""),IF(AND(YEAR(SepSun1+36)=CalendarYear,MONTH(SepSun1+36)=9),SepSun1+36,""))</f>
        <v/>
      </c>
      <c r="AO469" s="17" t="str">
        <f>IF(DAY(SepSun1)=1,IF(AND(YEAR(SepSun1+30)=CalendarYear,MONTH(SepSun1+30)=9),SepSun1+30,""),IF(AND(YEAR(SepSun1+37)=CalendarYear,MONTH(SepSun1+37)=9),SepSun1+37,""))</f>
        <v/>
      </c>
      <c r="AP469" s="29"/>
      <c r="AQ469" s="29"/>
      <c r="AR469" s="29"/>
    </row>
    <row r="470" spans="4:44" s="10" customFormat="1" ht="19" customHeight="1" thickBot="1" x14ac:dyDescent="0.45">
      <c r="D470" s="43"/>
      <c r="E470" s="18" t="s">
        <v>2</v>
      </c>
      <c r="F470" s="18" t="s">
        <v>3</v>
      </c>
      <c r="G470" s="18" t="s">
        <v>4</v>
      </c>
      <c r="H470" s="18" t="s">
        <v>5</v>
      </c>
      <c r="I470" s="18" t="s">
        <v>6</v>
      </c>
      <c r="J470" s="18" t="s">
        <v>7</v>
      </c>
      <c r="K470" s="18" t="s">
        <v>8</v>
      </c>
      <c r="L470" s="18" t="s">
        <v>2</v>
      </c>
      <c r="M470" s="18" t="s">
        <v>3</v>
      </c>
      <c r="N470" s="18" t="s">
        <v>4</v>
      </c>
      <c r="O470" s="18" t="s">
        <v>5</v>
      </c>
      <c r="P470" s="18" t="s">
        <v>6</v>
      </c>
      <c r="Q470" s="18" t="s">
        <v>7</v>
      </c>
      <c r="R470" s="18" t="s">
        <v>8</v>
      </c>
      <c r="S470" s="18" t="s">
        <v>2</v>
      </c>
      <c r="T470" s="18" t="s">
        <v>3</v>
      </c>
      <c r="U470" s="18" t="s">
        <v>4</v>
      </c>
      <c r="V470" s="18" t="s">
        <v>5</v>
      </c>
      <c r="W470" s="18" t="s">
        <v>6</v>
      </c>
      <c r="X470" s="18" t="s">
        <v>7</v>
      </c>
      <c r="Y470" s="18" t="s">
        <v>8</v>
      </c>
      <c r="Z470" s="18" t="s">
        <v>2</v>
      </c>
      <c r="AA470" s="18" t="s">
        <v>3</v>
      </c>
      <c r="AB470" s="18" t="s">
        <v>4</v>
      </c>
      <c r="AC470" s="18" t="s">
        <v>5</v>
      </c>
      <c r="AD470" s="18" t="s">
        <v>6</v>
      </c>
      <c r="AE470" s="18" t="s">
        <v>7</v>
      </c>
      <c r="AF470" s="18" t="s">
        <v>8</v>
      </c>
      <c r="AG470" s="18" t="s">
        <v>2</v>
      </c>
      <c r="AH470" s="18" t="s">
        <v>3</v>
      </c>
      <c r="AI470" s="18" t="s">
        <v>4</v>
      </c>
      <c r="AJ470" s="18" t="s">
        <v>5</v>
      </c>
      <c r="AK470" s="18" t="s">
        <v>6</v>
      </c>
      <c r="AL470" s="18" t="s">
        <v>7</v>
      </c>
      <c r="AM470" s="18" t="s">
        <v>8</v>
      </c>
      <c r="AN470" s="18" t="s">
        <v>2</v>
      </c>
      <c r="AO470" s="19" t="s">
        <v>3</v>
      </c>
      <c r="AP470" s="23"/>
      <c r="AQ470" s="23"/>
      <c r="AR470" s="23"/>
    </row>
    <row r="471" spans="4:44" ht="19" customHeight="1" thickBot="1" x14ac:dyDescent="0.45">
      <c r="D471" s="21" t="s">
        <v>10</v>
      </c>
      <c r="E471" s="20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31"/>
      <c r="AP471" s="39">
        <v>2</v>
      </c>
      <c r="AQ471" s="39"/>
      <c r="AR471" s="39"/>
    </row>
    <row r="472" spans="4:44" ht="19" customHeight="1" thickBot="1" x14ac:dyDescent="0.45">
      <c r="D472" s="22" t="s">
        <v>11</v>
      </c>
      <c r="E472" s="20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31"/>
      <c r="AP472" s="39">
        <v>32</v>
      </c>
      <c r="AQ472" s="39"/>
      <c r="AR472" s="39"/>
    </row>
    <row r="473" spans="4:44" ht="19" customHeight="1" thickBot="1" x14ac:dyDescent="0.45">
      <c r="D473" s="22" t="s">
        <v>12</v>
      </c>
      <c r="E473" s="20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31"/>
      <c r="AP473" s="39">
        <v>61</v>
      </c>
      <c r="AQ473" s="39"/>
      <c r="AR473" s="39"/>
    </row>
    <row r="474" spans="4:44" ht="19" customHeight="1" thickBot="1" x14ac:dyDescent="0.45">
      <c r="D474" s="22" t="s">
        <v>13</v>
      </c>
      <c r="E474" s="20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31"/>
      <c r="AP474" s="39">
        <v>7</v>
      </c>
      <c r="AQ474" s="39"/>
      <c r="AR474" s="39"/>
    </row>
    <row r="475" spans="4:44" ht="19" customHeight="1" thickBot="1" x14ac:dyDescent="0.45">
      <c r="D475" s="22" t="s">
        <v>14</v>
      </c>
      <c r="E475" s="20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31"/>
      <c r="AP475" s="39">
        <v>7</v>
      </c>
      <c r="AQ475" s="39"/>
      <c r="AR475" s="39"/>
    </row>
    <row r="476" spans="4:44" ht="19" customHeight="1" thickBot="1" x14ac:dyDescent="0.45">
      <c r="D476" s="22" t="s">
        <v>15</v>
      </c>
      <c r="E476" s="20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31"/>
      <c r="AP476" s="39">
        <v>10</v>
      </c>
      <c r="AQ476" s="39"/>
      <c r="AR476" s="39"/>
    </row>
    <row r="477" spans="4:44" ht="19" customHeight="1" thickBot="1" x14ac:dyDescent="0.45">
      <c r="D477" s="22" t="s">
        <v>16</v>
      </c>
      <c r="E477" s="20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31"/>
      <c r="AP477" s="39">
        <v>2</v>
      </c>
      <c r="AQ477" s="39"/>
      <c r="AR477" s="39"/>
    </row>
    <row r="478" spans="4:44" ht="19" customHeight="1" thickBot="1" x14ac:dyDescent="0.45">
      <c r="D478" s="22" t="s">
        <v>17</v>
      </c>
      <c r="E478" s="20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31"/>
      <c r="AP478" s="39">
        <v>4</v>
      </c>
      <c r="AQ478" s="39"/>
      <c r="AR478" s="39"/>
    </row>
    <row r="479" spans="4:44" ht="19" customHeight="1" thickBot="1" x14ac:dyDescent="0.45">
      <c r="D479" s="22" t="s">
        <v>18</v>
      </c>
      <c r="E479" s="20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31"/>
      <c r="AP479" s="39">
        <v>2</v>
      </c>
      <c r="AQ479" s="39"/>
      <c r="AR479" s="39"/>
    </row>
    <row r="480" spans="4:44" ht="19" customHeight="1" thickBot="1" x14ac:dyDescent="0.45">
      <c r="D480" s="22" t="s">
        <v>19</v>
      </c>
      <c r="E480" s="20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31"/>
      <c r="AP480" s="39">
        <v>6</v>
      </c>
      <c r="AQ480" s="39"/>
      <c r="AR480" s="39"/>
    </row>
    <row r="481" spans="4:44" ht="19" customHeight="1" thickBot="1" x14ac:dyDescent="0.45">
      <c r="D481" s="22" t="s">
        <v>20</v>
      </c>
      <c r="E481" s="20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31"/>
      <c r="AP481" s="39">
        <v>13</v>
      </c>
      <c r="AQ481" s="39"/>
      <c r="AR481" s="39"/>
    </row>
    <row r="482" spans="4:44" ht="19" customHeight="1" thickBot="1" x14ac:dyDescent="0.45">
      <c r="D482" s="22" t="s">
        <v>21</v>
      </c>
      <c r="E482" s="20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31"/>
      <c r="AP482" s="39">
        <v>1</v>
      </c>
      <c r="AQ482" s="39"/>
      <c r="AR482" s="39"/>
    </row>
    <row r="483" spans="4:44" ht="19" customHeight="1" thickBot="1" x14ac:dyDescent="0.45">
      <c r="D483" s="22" t="s">
        <v>22</v>
      </c>
      <c r="E483" s="20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31"/>
      <c r="AP483" s="39">
        <v>6</v>
      </c>
      <c r="AQ483" s="39"/>
      <c r="AR483" s="39"/>
    </row>
    <row r="484" spans="4:44" ht="19" customHeight="1" thickBot="1" x14ac:dyDescent="0.45"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  <c r="AQ484" s="26"/>
      <c r="AR484" s="26"/>
    </row>
    <row r="485" spans="4:44" ht="19" customHeight="1" thickBot="1" x14ac:dyDescent="0.45">
      <c r="D485" s="21" t="s">
        <v>23</v>
      </c>
      <c r="E485" s="20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31"/>
      <c r="AP485" s="39" t="s">
        <v>24</v>
      </c>
      <c r="AQ485" s="39"/>
      <c r="AR485" s="39"/>
    </row>
    <row r="486" spans="4:44" ht="19" customHeight="1" thickBot="1" x14ac:dyDescent="0.45">
      <c r="D486" s="22" t="s">
        <v>25</v>
      </c>
      <c r="E486" s="20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31"/>
      <c r="AP486" s="39" t="s">
        <v>26</v>
      </c>
      <c r="AQ486" s="39"/>
      <c r="AR486" s="39"/>
    </row>
    <row r="487" spans="4:44" ht="19" customHeight="1" thickBot="1" x14ac:dyDescent="0.45">
      <c r="D487" s="22" t="s">
        <v>27</v>
      </c>
      <c r="E487" s="20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31"/>
      <c r="AP487" s="39" t="s">
        <v>28</v>
      </c>
      <c r="AQ487" s="39"/>
      <c r="AR487" s="39"/>
    </row>
    <row r="488" spans="4:44" ht="19" customHeight="1" thickBot="1" x14ac:dyDescent="0.45">
      <c r="D488" s="22" t="s">
        <v>29</v>
      </c>
      <c r="E488" s="20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31"/>
      <c r="AP488" s="39">
        <v>34</v>
      </c>
      <c r="AQ488" s="39"/>
      <c r="AR488" s="39"/>
    </row>
    <row r="489" spans="4:44" ht="19" customHeight="1" thickBot="1" x14ac:dyDescent="0.45">
      <c r="D489" s="22" t="s">
        <v>30</v>
      </c>
      <c r="E489" s="20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31"/>
      <c r="AP489" s="39">
        <v>13</v>
      </c>
      <c r="AQ489" s="39"/>
      <c r="AR489" s="39"/>
    </row>
    <row r="490" spans="4:44" ht="19" customHeight="1" thickBot="1" x14ac:dyDescent="0.45">
      <c r="D490" s="22" t="s">
        <v>31</v>
      </c>
      <c r="E490" s="20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31"/>
      <c r="AP490" s="39">
        <v>16</v>
      </c>
      <c r="AQ490" s="39"/>
      <c r="AR490" s="39"/>
    </row>
    <row r="491" spans="4:44" ht="19" customHeight="1" thickBot="1" x14ac:dyDescent="0.45">
      <c r="D491" s="22" t="s">
        <v>32</v>
      </c>
      <c r="E491" s="20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31"/>
      <c r="AP491" s="39">
        <v>15</v>
      </c>
      <c r="AQ491" s="39"/>
      <c r="AR491" s="39"/>
    </row>
    <row r="492" spans="4:44" ht="19" customHeight="1" thickBot="1" x14ac:dyDescent="0.45"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  <c r="AO492" s="32"/>
      <c r="AP492" s="26"/>
      <c r="AQ492" s="26"/>
      <c r="AR492" s="26"/>
    </row>
    <row r="493" spans="4:44" ht="19" customHeight="1" thickBot="1" x14ac:dyDescent="0.45">
      <c r="D493" s="21" t="s">
        <v>33</v>
      </c>
      <c r="E493" s="20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31"/>
      <c r="AP493" s="39">
        <v>3</v>
      </c>
      <c r="AQ493" s="39"/>
      <c r="AR493" s="39"/>
    </row>
    <row r="494" spans="4:44" ht="19" customHeight="1" thickBot="1" x14ac:dyDescent="0.45">
      <c r="D494" s="22" t="s">
        <v>34</v>
      </c>
      <c r="E494" s="20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31"/>
      <c r="AP494" s="39">
        <v>7</v>
      </c>
      <c r="AQ494" s="39"/>
      <c r="AR494" s="39"/>
    </row>
    <row r="495" spans="4:44" ht="19" customHeight="1" thickBot="1" x14ac:dyDescent="0.45">
      <c r="D495" s="22" t="s">
        <v>35</v>
      </c>
      <c r="E495" s="20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31"/>
      <c r="AP495" s="39">
        <v>2</v>
      </c>
      <c r="AQ495" s="39"/>
      <c r="AR495" s="39"/>
    </row>
    <row r="496" spans="4:44" ht="19" customHeight="1" thickBot="1" x14ac:dyDescent="0.45">
      <c r="D496" s="22" t="s">
        <v>36</v>
      </c>
      <c r="E496" s="20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31"/>
      <c r="AP496" s="39">
        <v>4</v>
      </c>
      <c r="AQ496" s="39"/>
      <c r="AR496" s="39"/>
    </row>
    <row r="497" spans="4:44" ht="19" customHeight="1" thickBot="1" x14ac:dyDescent="0.45">
      <c r="D497" s="22" t="s">
        <v>37</v>
      </c>
      <c r="E497" s="20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31"/>
      <c r="AP497" s="39">
        <v>2</v>
      </c>
      <c r="AQ497" s="39"/>
      <c r="AR497" s="39"/>
    </row>
    <row r="498" spans="4:44" ht="19" customHeight="1" thickBot="1" x14ac:dyDescent="0.45">
      <c r="D498" s="22" t="s">
        <v>38</v>
      </c>
      <c r="E498" s="20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31"/>
      <c r="AP498" s="39">
        <v>8</v>
      </c>
      <c r="AQ498" s="39"/>
      <c r="AR498" s="39"/>
    </row>
    <row r="499" spans="4:44" ht="19" customHeight="1" thickBot="1" x14ac:dyDescent="0.45"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33"/>
      <c r="AP499" s="34"/>
      <c r="AQ499" s="34"/>
      <c r="AR499" s="34"/>
    </row>
    <row r="500" spans="4:44" ht="19" customHeight="1" thickBot="1" x14ac:dyDescent="0.45">
      <c r="D500" s="21" t="s">
        <v>39</v>
      </c>
      <c r="E500" s="20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31"/>
      <c r="AP500" s="39">
        <v>3</v>
      </c>
      <c r="AQ500" s="39"/>
      <c r="AR500" s="39"/>
    </row>
    <row r="501" spans="4:44" ht="19" customHeight="1" thickBot="1" x14ac:dyDescent="0.45">
      <c r="D501" s="22" t="s">
        <v>40</v>
      </c>
      <c r="E501" s="20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31"/>
      <c r="AP501" s="39">
        <v>3</v>
      </c>
      <c r="AQ501" s="39"/>
      <c r="AR501" s="39"/>
    </row>
    <row r="502" spans="4:44" ht="19" customHeight="1" thickBot="1" x14ac:dyDescent="0.45">
      <c r="D502" s="22" t="s">
        <v>41</v>
      </c>
      <c r="E502" s="20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31"/>
      <c r="AP502" s="39">
        <v>2</v>
      </c>
      <c r="AQ502" s="39"/>
      <c r="AR502" s="39"/>
    </row>
    <row r="503" spans="4:44" ht="19" customHeight="1" thickBot="1" x14ac:dyDescent="0.45">
      <c r="D503" s="22" t="s">
        <v>42</v>
      </c>
      <c r="E503" s="20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31"/>
      <c r="AP503" s="39">
        <v>2</v>
      </c>
      <c r="AQ503" s="39"/>
      <c r="AR503" s="39"/>
    </row>
    <row r="504" spans="4:44" ht="19" customHeight="1" thickBot="1" x14ac:dyDescent="0.45"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32"/>
      <c r="AP504" s="26"/>
      <c r="AQ504" s="26"/>
      <c r="AR504" s="26"/>
    </row>
    <row r="505" spans="4:44" ht="19" customHeight="1" thickBot="1" x14ac:dyDescent="0.45">
      <c r="D505" s="21" t="s">
        <v>43</v>
      </c>
      <c r="E505" s="20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31"/>
      <c r="AP505" s="39">
        <v>2</v>
      </c>
      <c r="AQ505" s="39"/>
      <c r="AR505" s="39"/>
    </row>
    <row r="506" spans="4:44" ht="19" customHeight="1" thickBot="1" x14ac:dyDescent="0.45">
      <c r="D506" s="22" t="s">
        <v>44</v>
      </c>
      <c r="E506" s="20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31"/>
      <c r="AP506" s="39">
        <v>2</v>
      </c>
      <c r="AQ506" s="39"/>
      <c r="AR506" s="39"/>
    </row>
    <row r="507" spans="4:44" ht="19" customHeight="1" thickBot="1" x14ac:dyDescent="0.45">
      <c r="D507" s="22" t="s">
        <v>45</v>
      </c>
      <c r="E507" s="20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31"/>
      <c r="AP507" s="39">
        <v>1</v>
      </c>
      <c r="AQ507" s="39"/>
      <c r="AR507" s="39"/>
    </row>
    <row r="508" spans="4:44" ht="19" customHeight="1" thickBot="1" x14ac:dyDescent="0.45">
      <c r="D508" s="22" t="s">
        <v>46</v>
      </c>
      <c r="E508" s="20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31"/>
      <c r="AP508" s="39">
        <v>2</v>
      </c>
      <c r="AQ508" s="39"/>
      <c r="AR508" s="39"/>
    </row>
    <row r="509" spans="4:44" ht="19" customHeight="1" thickBot="1" x14ac:dyDescent="0.45">
      <c r="D509" s="22" t="s">
        <v>47</v>
      </c>
      <c r="E509" s="20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31"/>
      <c r="AP509" s="39">
        <v>2</v>
      </c>
      <c r="AQ509" s="39"/>
      <c r="AR509" s="39"/>
    </row>
    <row r="510" spans="4:44" ht="19" customHeight="1" thickBot="1" x14ac:dyDescent="0.45">
      <c r="D510" s="22" t="s">
        <v>48</v>
      </c>
      <c r="E510" s="20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31"/>
      <c r="AP510" s="39">
        <v>3</v>
      </c>
      <c r="AQ510" s="39"/>
      <c r="AR510" s="39"/>
    </row>
    <row r="511" spans="4:44" ht="19" customHeight="1" thickBot="1" x14ac:dyDescent="0.45">
      <c r="D511" s="22" t="s">
        <v>49</v>
      </c>
      <c r="E511" s="20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31"/>
      <c r="AP511" s="39">
        <v>2</v>
      </c>
      <c r="AQ511" s="39"/>
      <c r="AR511" s="39"/>
    </row>
    <row r="512" spans="4:44" ht="19" customHeight="1" thickBot="1" x14ac:dyDescent="0.45">
      <c r="D512" s="22" t="s">
        <v>50</v>
      </c>
      <c r="E512" s="20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31"/>
      <c r="AP512" s="39">
        <v>1</v>
      </c>
      <c r="AQ512" s="39"/>
      <c r="AR512" s="39"/>
    </row>
    <row r="513" spans="4:44" ht="19" customHeight="1" thickBot="1" x14ac:dyDescent="0.45">
      <c r="D513" s="22" t="s">
        <v>51</v>
      </c>
      <c r="E513" s="20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31"/>
      <c r="AP513" s="39">
        <v>1</v>
      </c>
      <c r="AQ513" s="39"/>
      <c r="AR513" s="39"/>
    </row>
    <row r="514" spans="4:44" ht="19" customHeight="1" thickBot="1" x14ac:dyDescent="0.45">
      <c r="D514" s="22" t="s">
        <v>52</v>
      </c>
      <c r="E514" s="20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31"/>
      <c r="AP514" s="39">
        <v>3</v>
      </c>
      <c r="AQ514" s="39"/>
      <c r="AR514" s="39"/>
    </row>
    <row r="515" spans="4:44" ht="19" customHeight="1" thickBot="1" x14ac:dyDescent="0.45">
      <c r="D515" s="22" t="s">
        <v>53</v>
      </c>
      <c r="E515" s="20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31"/>
      <c r="AP515" s="39">
        <v>2</v>
      </c>
      <c r="AQ515" s="39"/>
      <c r="AR515" s="39"/>
    </row>
    <row r="516" spans="4:44" ht="19" customHeight="1" thickBot="1" x14ac:dyDescent="0.45">
      <c r="D516" s="22" t="s">
        <v>54</v>
      </c>
      <c r="E516" s="20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31"/>
      <c r="AP516" s="39">
        <v>1</v>
      </c>
      <c r="AQ516" s="39"/>
      <c r="AR516" s="39"/>
    </row>
    <row r="517" spans="4:44" ht="19" customHeight="1" thickBot="1" x14ac:dyDescent="0.45">
      <c r="D517" s="22" t="s">
        <v>55</v>
      </c>
      <c r="E517" s="20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31"/>
      <c r="AP517" s="39">
        <v>1</v>
      </c>
      <c r="AQ517" s="39"/>
      <c r="AR517" s="39"/>
    </row>
    <row r="518" spans="4:44" ht="19" customHeight="1" thickBot="1" x14ac:dyDescent="0.45">
      <c r="D518" s="22" t="s">
        <v>56</v>
      </c>
      <c r="E518" s="20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31"/>
      <c r="AP518" s="39">
        <v>2</v>
      </c>
      <c r="AQ518" s="39"/>
      <c r="AR518" s="39"/>
    </row>
    <row r="519" spans="4:44" ht="19" customHeight="1" thickBot="1" x14ac:dyDescent="0.45">
      <c r="D519" s="22" t="s">
        <v>57</v>
      </c>
      <c r="E519" s="20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31"/>
      <c r="AP519" s="39">
        <v>2</v>
      </c>
      <c r="AQ519" s="39"/>
      <c r="AR519" s="39"/>
    </row>
    <row r="520" spans="4:44" ht="19" customHeight="1" x14ac:dyDescent="0.4">
      <c r="D520" s="8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30"/>
      <c r="AQ520" s="30"/>
      <c r="AR520" s="30"/>
    </row>
    <row r="521" spans="4:44" ht="19" customHeight="1" x14ac:dyDescent="0.4">
      <c r="D521" s="8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30"/>
      <c r="AQ521" s="30"/>
      <c r="AR521" s="30"/>
    </row>
    <row r="522" spans="4:44" ht="19" customHeight="1" x14ac:dyDescent="0.4">
      <c r="D522" s="8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30"/>
      <c r="AQ522" s="30"/>
      <c r="AR522" s="30"/>
    </row>
    <row r="523" spans="4:44" ht="19" customHeight="1" x14ac:dyDescent="0.4">
      <c r="D523" s="8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30"/>
      <c r="AQ523" s="30"/>
      <c r="AR523" s="30"/>
    </row>
    <row r="524" spans="4:44" ht="19" customHeight="1" x14ac:dyDescent="0.4">
      <c r="D524" s="8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30"/>
      <c r="AQ524" s="30"/>
      <c r="AR524" s="30"/>
    </row>
    <row r="525" spans="4:44" ht="19" customHeight="1" x14ac:dyDescent="0.4">
      <c r="D525" s="8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30"/>
      <c r="AQ525" s="30"/>
      <c r="AR525" s="30"/>
    </row>
    <row r="526" spans="4:44" ht="19" customHeight="1" x14ac:dyDescent="0.4">
      <c r="D526" s="8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30"/>
      <c r="AQ526" s="30"/>
      <c r="AR526" s="30"/>
    </row>
    <row r="527" spans="4:44" ht="19" customHeight="1" x14ac:dyDescent="0.4">
      <c r="D527" s="8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30"/>
      <c r="AQ527" s="30"/>
      <c r="AR527" s="30"/>
    </row>
    <row r="528" spans="4:44" ht="19" customHeight="1" x14ac:dyDescent="0.4">
      <c r="D528" s="9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30"/>
      <c r="AQ528" s="30"/>
      <c r="AR528" s="30"/>
    </row>
    <row r="529" spans="4:44" ht="19" customHeight="1" x14ac:dyDescent="0.4">
      <c r="D529" s="9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30"/>
      <c r="AQ529" s="30"/>
      <c r="AR529" s="30"/>
    </row>
    <row r="530" spans="4:44" ht="12" customHeight="1" x14ac:dyDescent="0.4"/>
    <row r="531" spans="4:44" s="10" customFormat="1" ht="19" customHeight="1" x14ac:dyDescent="0.4">
      <c r="D531" s="41">
        <f>DATE(CalendarYear,10,1)</f>
        <v>45931</v>
      </c>
      <c r="E531" s="16" t="str">
        <f>IF(DAY(OctSun1)=1,"",IF(AND(YEAR(OctSun1+1)=CalendarYear,MONTH(OctSun1+1)=10),OctSun1+1,""))</f>
        <v/>
      </c>
      <c r="F531" s="16" t="str">
        <f>IF(DAY(OctSun1)=1,"",IF(AND(YEAR(OctSun1+2)=CalendarYear,MONTH(OctSun1+2)=10),OctSun1+2,""))</f>
        <v/>
      </c>
      <c r="G531" s="16" t="str">
        <f>IF(DAY(OctSun1)=1,"",IF(AND(YEAR(OctSun1+3)=CalendarYear,MONTH(OctSun1+3)=10),OctSun1+3,""))</f>
        <v/>
      </c>
      <c r="H531" s="16">
        <f>IF(DAY(OctSun1)=1,"",IF(AND(YEAR(OctSun1+4)=CalendarYear,MONTH(OctSun1+4)=10),OctSun1+4,""))</f>
        <v>45931</v>
      </c>
      <c r="I531" s="16">
        <f>IF(DAY(OctSun1)=1,"",IF(AND(YEAR(OctSun1+5)=CalendarYear,MONTH(OctSun1+5)=10),OctSun1+5,""))</f>
        <v>45932</v>
      </c>
      <c r="J531" s="16">
        <f>IF(DAY(OctSun1)=1,"",IF(AND(YEAR(OctSun1+6)=CalendarYear,MONTH(OctSun1+6)=10),OctSun1+6,""))</f>
        <v>45933</v>
      </c>
      <c r="K531" s="16">
        <f>IF(DAY(OctSun1)=1,IF(AND(YEAR(OctSun1)=CalendarYear,MONTH(OctSun1)=10),OctSun1,""),IF(AND(YEAR(OctSun1+7)=CalendarYear,MONTH(OctSun1+7)=10),OctSun1+7,""))</f>
        <v>45934</v>
      </c>
      <c r="L531" s="16">
        <f>IF(DAY(OctSun1)=1,IF(AND(YEAR(OctSun1+1)=CalendarYear,MONTH(OctSun1+1)=10),OctSun1+1,""),IF(AND(YEAR(OctSun1+8)=CalendarYear,MONTH(OctSun1+8)=10),OctSun1+8,""))</f>
        <v>45935</v>
      </c>
      <c r="M531" s="16">
        <f>IF(DAY(OctSun1)=1,IF(AND(YEAR(OctSun1+2)=CalendarYear,MONTH(OctSun1+2)=10),OctSun1+2,""),IF(AND(YEAR(OctSun1+9)=CalendarYear,MONTH(OctSun1+9)=10),OctSun1+9,""))</f>
        <v>45936</v>
      </c>
      <c r="N531" s="16">
        <f>IF(DAY(OctSun1)=1,IF(AND(YEAR(OctSun1+3)=CalendarYear,MONTH(OctSun1+3)=10),OctSun1+3,""),IF(AND(YEAR(OctSun1+10)=CalendarYear,MONTH(OctSun1+10)=10),OctSun1+10,""))</f>
        <v>45937</v>
      </c>
      <c r="O531" s="16">
        <f>IF(DAY(OctSun1)=1,IF(AND(YEAR(OctSun1+4)=CalendarYear,MONTH(OctSun1+4)=10),OctSun1+4,""),IF(AND(YEAR(OctSun1+11)=CalendarYear,MONTH(OctSun1+11)=10),OctSun1+11,""))</f>
        <v>45938</v>
      </c>
      <c r="P531" s="16">
        <f>IF(DAY(OctSun1)=1,IF(AND(YEAR(OctSun1+5)=CalendarYear,MONTH(OctSun1+5)=10),OctSun1+5,""),IF(AND(YEAR(OctSun1+12)=CalendarYear,MONTH(OctSun1+12)=10),OctSun1+12,""))</f>
        <v>45939</v>
      </c>
      <c r="Q531" s="16">
        <f>IF(DAY(OctSun1)=1,IF(AND(YEAR(OctSun1+6)=CalendarYear,MONTH(OctSun1+6)=10),OctSun1+6,""),IF(AND(YEAR(OctSun1+13)=CalendarYear,MONTH(OctSun1+13)=10),OctSun1+13,""))</f>
        <v>45940</v>
      </c>
      <c r="R531" s="16">
        <f>IF(DAY(OctSun1)=1,IF(AND(YEAR(OctSun1+7)=CalendarYear,MONTH(OctSun1+7)=10),OctSun1+7,""),IF(AND(YEAR(OctSun1+14)=CalendarYear,MONTH(OctSun1+14)=10),OctSun1+14,""))</f>
        <v>45941</v>
      </c>
      <c r="S531" s="16">
        <f>IF(DAY(OctSun1)=1,IF(AND(YEAR(OctSun1+8)=CalendarYear,MONTH(OctSun1+8)=10),OctSun1+8,""),IF(AND(YEAR(OctSun1+15)=CalendarYear,MONTH(OctSun1+15)=10),OctSun1+15,""))</f>
        <v>45942</v>
      </c>
      <c r="T531" s="16">
        <f>IF(DAY(OctSun1)=1,IF(AND(YEAR(OctSun1+9)=CalendarYear,MONTH(OctSun1+9)=10),OctSun1+9,""),IF(AND(YEAR(OctSun1+16)=CalendarYear,MONTH(OctSun1+16)=10),OctSun1+16,""))</f>
        <v>45943</v>
      </c>
      <c r="U531" s="16">
        <f>IF(DAY(OctSun1)=1,IF(AND(YEAR(OctSun1+10)=CalendarYear,MONTH(OctSun1+10)=10),OctSun1+10,""),IF(AND(YEAR(OctSun1+17)=CalendarYear,MONTH(OctSun1+17)=10),OctSun1+17,""))</f>
        <v>45944</v>
      </c>
      <c r="V531" s="16">
        <f>IF(DAY(OctSun1)=1,IF(AND(YEAR(OctSun1+11)=CalendarYear,MONTH(OctSun1+11)=10),OctSun1+11,""),IF(AND(YEAR(OctSun1+18)=CalendarYear,MONTH(OctSun1+18)=10),OctSun1+18,""))</f>
        <v>45945</v>
      </c>
      <c r="W531" s="16">
        <f>IF(DAY(OctSun1)=1,IF(AND(YEAR(OctSun1+12)=CalendarYear,MONTH(OctSun1+12)=10),OctSun1+12,""),IF(AND(YEAR(OctSun1+19)=CalendarYear,MONTH(OctSun1+19)=10),OctSun1+19,""))</f>
        <v>45946</v>
      </c>
      <c r="X531" s="16">
        <f>IF(DAY(OctSun1)=1,IF(AND(YEAR(OctSun1+13)=CalendarYear,MONTH(OctSun1+13)=10),OctSun1+13,""),IF(AND(YEAR(OctSun1+20)=CalendarYear,MONTH(OctSun1+20)=10),OctSun1+20,""))</f>
        <v>45947</v>
      </c>
      <c r="Y531" s="16">
        <f>IF(DAY(OctSun1)=1,IF(AND(YEAR(OctSun1+14)=CalendarYear,MONTH(OctSun1+14)=10),OctSun1+14,""),IF(AND(YEAR(OctSun1+21)=CalendarYear,MONTH(OctSun1+21)=10),OctSun1+21,""))</f>
        <v>45948</v>
      </c>
      <c r="Z531" s="16">
        <f>IF(DAY(OctSun1)=1,IF(AND(YEAR(OctSun1+15)=CalendarYear,MONTH(OctSun1+15)=10),OctSun1+15,""),IF(AND(YEAR(OctSun1+22)=CalendarYear,MONTH(OctSun1+22)=10),OctSun1+22,""))</f>
        <v>45949</v>
      </c>
      <c r="AA531" s="16">
        <f>IF(DAY(OctSun1)=1,IF(AND(YEAR(OctSun1+16)=CalendarYear,MONTH(OctSun1+16)=10),OctSun1+16,""),IF(AND(YEAR(OctSun1+23)=CalendarYear,MONTH(OctSun1+23)=10),OctSun1+23,""))</f>
        <v>45950</v>
      </c>
      <c r="AB531" s="16">
        <f>IF(DAY(OctSun1)=1,IF(AND(YEAR(OctSun1+17)=CalendarYear,MONTH(OctSun1+17)=10),OctSun1+17,""),IF(AND(YEAR(OctSun1+24)=CalendarYear,MONTH(OctSun1+24)=10),OctSun1+24,""))</f>
        <v>45951</v>
      </c>
      <c r="AC531" s="16">
        <f>IF(DAY(OctSun1)=1,IF(AND(YEAR(OctSun1+18)=CalendarYear,MONTH(OctSun1+18)=10),OctSun1+18,""),IF(AND(YEAR(OctSun1+25)=CalendarYear,MONTH(OctSun1+25)=10),OctSun1+25,""))</f>
        <v>45952</v>
      </c>
      <c r="AD531" s="16">
        <f>IF(DAY(OctSun1)=1,IF(AND(YEAR(OctSun1+19)=CalendarYear,MONTH(OctSun1+19)=10),OctSun1+19,""),IF(AND(YEAR(OctSun1+26)=CalendarYear,MONTH(OctSun1+26)=10),OctSun1+26,""))</f>
        <v>45953</v>
      </c>
      <c r="AE531" s="16">
        <f>IF(DAY(OctSun1)=1,IF(AND(YEAR(OctSun1+20)=CalendarYear,MONTH(OctSun1+20)=10),OctSun1+20,""),IF(AND(YEAR(OctSun1+27)=CalendarYear,MONTH(OctSun1+27)=10),OctSun1+27,""))</f>
        <v>45954</v>
      </c>
      <c r="AF531" s="16">
        <f>IF(DAY(OctSun1)=1,IF(AND(YEAR(OctSun1+21)=CalendarYear,MONTH(OctSun1+21)=10),OctSun1+21,""),IF(AND(YEAR(OctSun1+28)=CalendarYear,MONTH(OctSun1+28)=10),OctSun1+28,""))</f>
        <v>45955</v>
      </c>
      <c r="AG531" s="16">
        <f>IF(DAY(OctSun1)=1,IF(AND(YEAR(OctSun1+22)=CalendarYear,MONTH(OctSun1+22)=10),OctSun1+22,""),IF(AND(YEAR(OctSun1+29)=CalendarYear,MONTH(OctSun1+29)=10),OctSun1+29,""))</f>
        <v>45956</v>
      </c>
      <c r="AH531" s="16">
        <f>IF(DAY(OctSun1)=1,IF(AND(YEAR(OctSun1+23)=CalendarYear,MONTH(OctSun1+23)=10),OctSun1+23,""),IF(AND(YEAR(OctSun1+30)=CalendarYear,MONTH(OctSun1+30)=10),OctSun1+30,""))</f>
        <v>45957</v>
      </c>
      <c r="AI531" s="16">
        <f>IF(DAY(OctSun1)=1,IF(AND(YEAR(OctSun1+24)=CalendarYear,MONTH(OctSun1+24)=10),OctSun1+24,""),IF(AND(YEAR(OctSun1+31)=CalendarYear,MONTH(OctSun1+31)=10),OctSun1+31,""))</f>
        <v>45958</v>
      </c>
      <c r="AJ531" s="16">
        <f>IF(DAY(OctSun1)=1,IF(AND(YEAR(OctSun1+25)=CalendarYear,MONTH(OctSun1+25)=10),OctSun1+25,""),IF(AND(YEAR(OctSun1+32)=CalendarYear,MONTH(OctSun1+32)=10),OctSun1+32,""))</f>
        <v>45959</v>
      </c>
      <c r="AK531" s="16">
        <f>IF(DAY(OctSun1)=1,IF(AND(YEAR(OctSun1+26)=CalendarYear,MONTH(OctSun1+26)=10),OctSun1+26,""),IF(AND(YEAR(OctSun1+33)=CalendarYear,MONTH(OctSun1+33)=10),OctSun1+33,""))</f>
        <v>45960</v>
      </c>
      <c r="AL531" s="16">
        <f>IF(DAY(OctSun1)=1,IF(AND(YEAR(OctSun1+27)=CalendarYear,MONTH(OctSun1+27)=10),OctSun1+27,""),IF(AND(YEAR(OctSun1+34)=CalendarYear,MONTH(OctSun1+34)=10),OctSun1+34,""))</f>
        <v>45961</v>
      </c>
      <c r="AM531" s="16" t="str">
        <f>IF(DAY(OctSun1)=1,IF(AND(YEAR(OctSun1+28)=CalendarYear,MONTH(OctSun1+28)=10),OctSun1+28,""),IF(AND(YEAR(OctSun1+35)=CalendarYear,MONTH(OctSun1+35)=10),OctSun1+35,""))</f>
        <v/>
      </c>
      <c r="AN531" s="16" t="str">
        <f>IF(DAY(OctSun1)=1,IF(AND(YEAR(OctSun1+29)=CalendarYear,MONTH(OctSun1+29)=10),OctSun1+29,""),IF(AND(YEAR(OctSun1+36)=CalendarYear,MONTH(OctSun1+36)=10),OctSun1+36,""))</f>
        <v/>
      </c>
      <c r="AO531" s="17" t="str">
        <f>IF(DAY(OctSun1)=1,IF(AND(YEAR(OctSun1+30)=CalendarYear,MONTH(OctSun1+30)=10),OctSun1+30,""),IF(AND(YEAR(OctSun1+37)=CalendarYear,MONTH(OctSun1+37)=10),OctSun1+37,""))</f>
        <v/>
      </c>
      <c r="AP531" s="29"/>
      <c r="AQ531" s="29"/>
      <c r="AR531" s="29"/>
    </row>
    <row r="532" spans="4:44" s="10" customFormat="1" ht="19" customHeight="1" thickBot="1" x14ac:dyDescent="0.45">
      <c r="D532" s="43"/>
      <c r="E532" s="18" t="s">
        <v>2</v>
      </c>
      <c r="F532" s="18" t="s">
        <v>3</v>
      </c>
      <c r="G532" s="18" t="s">
        <v>4</v>
      </c>
      <c r="H532" s="18" t="s">
        <v>5</v>
      </c>
      <c r="I532" s="18" t="s">
        <v>6</v>
      </c>
      <c r="J532" s="18" t="s">
        <v>7</v>
      </c>
      <c r="K532" s="18" t="s">
        <v>8</v>
      </c>
      <c r="L532" s="18" t="s">
        <v>2</v>
      </c>
      <c r="M532" s="18" t="s">
        <v>3</v>
      </c>
      <c r="N532" s="18" t="s">
        <v>4</v>
      </c>
      <c r="O532" s="18" t="s">
        <v>5</v>
      </c>
      <c r="P532" s="18" t="s">
        <v>6</v>
      </c>
      <c r="Q532" s="18" t="s">
        <v>7</v>
      </c>
      <c r="R532" s="18" t="s">
        <v>8</v>
      </c>
      <c r="S532" s="18" t="s">
        <v>2</v>
      </c>
      <c r="T532" s="18" t="s">
        <v>3</v>
      </c>
      <c r="U532" s="18" t="s">
        <v>4</v>
      </c>
      <c r="V532" s="18" t="s">
        <v>5</v>
      </c>
      <c r="W532" s="18" t="s">
        <v>6</v>
      </c>
      <c r="X532" s="18" t="s">
        <v>7</v>
      </c>
      <c r="Y532" s="18" t="s">
        <v>8</v>
      </c>
      <c r="Z532" s="18" t="s">
        <v>2</v>
      </c>
      <c r="AA532" s="18" t="s">
        <v>3</v>
      </c>
      <c r="AB532" s="18" t="s">
        <v>4</v>
      </c>
      <c r="AC532" s="18" t="s">
        <v>5</v>
      </c>
      <c r="AD532" s="18" t="s">
        <v>6</v>
      </c>
      <c r="AE532" s="18" t="s">
        <v>7</v>
      </c>
      <c r="AF532" s="18" t="s">
        <v>8</v>
      </c>
      <c r="AG532" s="18" t="s">
        <v>2</v>
      </c>
      <c r="AH532" s="18" t="s">
        <v>3</v>
      </c>
      <c r="AI532" s="18" t="s">
        <v>4</v>
      </c>
      <c r="AJ532" s="18" t="s">
        <v>5</v>
      </c>
      <c r="AK532" s="18" t="s">
        <v>6</v>
      </c>
      <c r="AL532" s="18" t="s">
        <v>7</v>
      </c>
      <c r="AM532" s="18" t="s">
        <v>8</v>
      </c>
      <c r="AN532" s="18" t="s">
        <v>2</v>
      </c>
      <c r="AO532" s="19" t="s">
        <v>3</v>
      </c>
      <c r="AP532" s="23"/>
      <c r="AQ532" s="23"/>
      <c r="AR532" s="23"/>
    </row>
    <row r="533" spans="4:44" ht="19" customHeight="1" thickBot="1" x14ac:dyDescent="0.45">
      <c r="D533" s="21" t="s">
        <v>10</v>
      </c>
      <c r="E533" s="20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31"/>
      <c r="AP533" s="39">
        <v>2</v>
      </c>
      <c r="AQ533" s="39"/>
      <c r="AR533" s="39"/>
    </row>
    <row r="534" spans="4:44" ht="19" customHeight="1" thickBot="1" x14ac:dyDescent="0.45">
      <c r="D534" s="22" t="s">
        <v>11</v>
      </c>
      <c r="E534" s="20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31"/>
      <c r="AP534" s="39">
        <v>32</v>
      </c>
      <c r="AQ534" s="39"/>
      <c r="AR534" s="39"/>
    </row>
    <row r="535" spans="4:44" ht="19" customHeight="1" thickBot="1" x14ac:dyDescent="0.45">
      <c r="D535" s="22" t="s">
        <v>12</v>
      </c>
      <c r="E535" s="20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31"/>
      <c r="AP535" s="39">
        <v>61</v>
      </c>
      <c r="AQ535" s="39"/>
      <c r="AR535" s="39"/>
    </row>
    <row r="536" spans="4:44" ht="19" customHeight="1" thickBot="1" x14ac:dyDescent="0.45">
      <c r="D536" s="22" t="s">
        <v>13</v>
      </c>
      <c r="E536" s="20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31"/>
      <c r="AP536" s="39">
        <v>7</v>
      </c>
      <c r="AQ536" s="39"/>
      <c r="AR536" s="39"/>
    </row>
    <row r="537" spans="4:44" ht="19" customHeight="1" thickBot="1" x14ac:dyDescent="0.45">
      <c r="D537" s="22" t="s">
        <v>14</v>
      </c>
      <c r="E537" s="20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31"/>
      <c r="AP537" s="39">
        <v>7</v>
      </c>
      <c r="AQ537" s="39"/>
      <c r="AR537" s="39"/>
    </row>
    <row r="538" spans="4:44" ht="19" customHeight="1" thickBot="1" x14ac:dyDescent="0.45">
      <c r="D538" s="22" t="s">
        <v>15</v>
      </c>
      <c r="E538" s="20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31"/>
      <c r="AP538" s="39">
        <v>10</v>
      </c>
      <c r="AQ538" s="39"/>
      <c r="AR538" s="39"/>
    </row>
    <row r="539" spans="4:44" ht="19" customHeight="1" thickBot="1" x14ac:dyDescent="0.45">
      <c r="D539" s="22" t="s">
        <v>16</v>
      </c>
      <c r="E539" s="20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31"/>
      <c r="AP539" s="39">
        <v>2</v>
      </c>
      <c r="AQ539" s="39"/>
      <c r="AR539" s="39"/>
    </row>
    <row r="540" spans="4:44" ht="19" customHeight="1" thickBot="1" x14ac:dyDescent="0.45">
      <c r="D540" s="22" t="s">
        <v>17</v>
      </c>
      <c r="E540" s="20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31"/>
      <c r="AP540" s="39">
        <v>4</v>
      </c>
      <c r="AQ540" s="39"/>
      <c r="AR540" s="39"/>
    </row>
    <row r="541" spans="4:44" ht="19" customHeight="1" thickBot="1" x14ac:dyDescent="0.45">
      <c r="D541" s="22" t="s">
        <v>18</v>
      </c>
      <c r="E541" s="20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31"/>
      <c r="AP541" s="39">
        <v>2</v>
      </c>
      <c r="AQ541" s="39"/>
      <c r="AR541" s="39"/>
    </row>
    <row r="542" spans="4:44" ht="19" customHeight="1" thickBot="1" x14ac:dyDescent="0.45">
      <c r="D542" s="22" t="s">
        <v>19</v>
      </c>
      <c r="E542" s="20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31"/>
      <c r="AP542" s="39">
        <v>6</v>
      </c>
      <c r="AQ542" s="39"/>
      <c r="AR542" s="39"/>
    </row>
    <row r="543" spans="4:44" ht="19" customHeight="1" thickBot="1" x14ac:dyDescent="0.45">
      <c r="D543" s="22" t="s">
        <v>20</v>
      </c>
      <c r="E543" s="20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31"/>
      <c r="AP543" s="39">
        <v>13</v>
      </c>
      <c r="AQ543" s="39"/>
      <c r="AR543" s="39"/>
    </row>
    <row r="544" spans="4:44" ht="19" customHeight="1" thickBot="1" x14ac:dyDescent="0.45">
      <c r="D544" s="22" t="s">
        <v>21</v>
      </c>
      <c r="E544" s="20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31"/>
      <c r="AP544" s="39">
        <v>1</v>
      </c>
      <c r="AQ544" s="39"/>
      <c r="AR544" s="39"/>
    </row>
    <row r="545" spans="4:44" ht="19" customHeight="1" thickBot="1" x14ac:dyDescent="0.45">
      <c r="D545" s="22" t="s">
        <v>22</v>
      </c>
      <c r="E545" s="20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31"/>
      <c r="AP545" s="39">
        <v>6</v>
      </c>
      <c r="AQ545" s="39"/>
      <c r="AR545" s="39"/>
    </row>
    <row r="546" spans="4:44" ht="19" customHeight="1" thickBot="1" x14ac:dyDescent="0.45"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  <c r="AQ546" s="26"/>
      <c r="AR546" s="26"/>
    </row>
    <row r="547" spans="4:44" ht="19" customHeight="1" thickBot="1" x14ac:dyDescent="0.45">
      <c r="D547" s="21" t="s">
        <v>23</v>
      </c>
      <c r="E547" s="20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31"/>
      <c r="AP547" s="39" t="s">
        <v>24</v>
      </c>
      <c r="AQ547" s="39"/>
      <c r="AR547" s="39"/>
    </row>
    <row r="548" spans="4:44" ht="19" customHeight="1" thickBot="1" x14ac:dyDescent="0.45">
      <c r="D548" s="22" t="s">
        <v>25</v>
      </c>
      <c r="E548" s="20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31"/>
      <c r="AP548" s="39" t="s">
        <v>26</v>
      </c>
      <c r="AQ548" s="39"/>
      <c r="AR548" s="39"/>
    </row>
    <row r="549" spans="4:44" ht="19" customHeight="1" thickBot="1" x14ac:dyDescent="0.45">
      <c r="D549" s="22" t="s">
        <v>27</v>
      </c>
      <c r="E549" s="20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31"/>
      <c r="AP549" s="39" t="s">
        <v>28</v>
      </c>
      <c r="AQ549" s="39"/>
      <c r="AR549" s="39"/>
    </row>
    <row r="550" spans="4:44" ht="19" customHeight="1" thickBot="1" x14ac:dyDescent="0.45">
      <c r="D550" s="22" t="s">
        <v>29</v>
      </c>
      <c r="E550" s="20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31"/>
      <c r="AP550" s="39">
        <v>34</v>
      </c>
      <c r="AQ550" s="39"/>
      <c r="AR550" s="39"/>
    </row>
    <row r="551" spans="4:44" ht="19" customHeight="1" thickBot="1" x14ac:dyDescent="0.45">
      <c r="D551" s="22" t="s">
        <v>30</v>
      </c>
      <c r="E551" s="20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31"/>
      <c r="AP551" s="39">
        <v>13</v>
      </c>
      <c r="AQ551" s="39"/>
      <c r="AR551" s="39"/>
    </row>
    <row r="552" spans="4:44" ht="19" customHeight="1" thickBot="1" x14ac:dyDescent="0.45">
      <c r="D552" s="22" t="s">
        <v>31</v>
      </c>
      <c r="E552" s="20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31"/>
      <c r="AP552" s="39">
        <v>16</v>
      </c>
      <c r="AQ552" s="39"/>
      <c r="AR552" s="39"/>
    </row>
    <row r="553" spans="4:44" ht="19" customHeight="1" thickBot="1" x14ac:dyDescent="0.45">
      <c r="D553" s="22" t="s">
        <v>32</v>
      </c>
      <c r="E553" s="20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31"/>
      <c r="AP553" s="39">
        <v>15</v>
      </c>
      <c r="AQ553" s="39"/>
      <c r="AR553" s="39"/>
    </row>
    <row r="554" spans="4:44" ht="19" customHeight="1" thickBot="1" x14ac:dyDescent="0.45"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26"/>
      <c r="AO554" s="32"/>
      <c r="AP554" s="26"/>
      <c r="AQ554" s="26"/>
      <c r="AR554" s="26"/>
    </row>
    <row r="555" spans="4:44" ht="19" customHeight="1" thickBot="1" x14ac:dyDescent="0.45">
      <c r="D555" s="21" t="s">
        <v>33</v>
      </c>
      <c r="E555" s="20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31"/>
      <c r="AP555" s="39">
        <v>3</v>
      </c>
      <c r="AQ555" s="39"/>
      <c r="AR555" s="39"/>
    </row>
    <row r="556" spans="4:44" ht="19" customHeight="1" thickBot="1" x14ac:dyDescent="0.45">
      <c r="D556" s="22" t="s">
        <v>34</v>
      </c>
      <c r="E556" s="20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31"/>
      <c r="AP556" s="39">
        <v>7</v>
      </c>
      <c r="AQ556" s="39"/>
      <c r="AR556" s="39"/>
    </row>
    <row r="557" spans="4:44" ht="19" customHeight="1" thickBot="1" x14ac:dyDescent="0.45">
      <c r="D557" s="22" t="s">
        <v>35</v>
      </c>
      <c r="E557" s="20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31"/>
      <c r="AP557" s="39">
        <v>2</v>
      </c>
      <c r="AQ557" s="39"/>
      <c r="AR557" s="39"/>
    </row>
    <row r="558" spans="4:44" ht="19" customHeight="1" thickBot="1" x14ac:dyDescent="0.45">
      <c r="D558" s="22" t="s">
        <v>36</v>
      </c>
      <c r="E558" s="20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31"/>
      <c r="AP558" s="39">
        <v>4</v>
      </c>
      <c r="AQ558" s="39"/>
      <c r="AR558" s="39"/>
    </row>
    <row r="559" spans="4:44" ht="19" customHeight="1" thickBot="1" x14ac:dyDescent="0.45">
      <c r="D559" s="22" t="s">
        <v>37</v>
      </c>
      <c r="E559" s="20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31"/>
      <c r="AP559" s="39">
        <v>2</v>
      </c>
      <c r="AQ559" s="39"/>
      <c r="AR559" s="39"/>
    </row>
    <row r="560" spans="4:44" ht="19" customHeight="1" thickBot="1" x14ac:dyDescent="0.45">
      <c r="D560" s="22" t="s">
        <v>38</v>
      </c>
      <c r="E560" s="20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31"/>
      <c r="AP560" s="39">
        <v>8</v>
      </c>
      <c r="AQ560" s="39"/>
      <c r="AR560" s="39"/>
    </row>
    <row r="561" spans="4:44" ht="19" customHeight="1" thickBot="1" x14ac:dyDescent="0.45"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33"/>
      <c r="AP561" s="34"/>
      <c r="AQ561" s="34"/>
      <c r="AR561" s="34"/>
    </row>
    <row r="562" spans="4:44" ht="19" customHeight="1" thickBot="1" x14ac:dyDescent="0.45">
      <c r="D562" s="21" t="s">
        <v>39</v>
      </c>
      <c r="E562" s="20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31"/>
      <c r="AP562" s="39">
        <v>3</v>
      </c>
      <c r="AQ562" s="39"/>
      <c r="AR562" s="39"/>
    </row>
    <row r="563" spans="4:44" ht="19" customHeight="1" thickBot="1" x14ac:dyDescent="0.45">
      <c r="D563" s="22" t="s">
        <v>40</v>
      </c>
      <c r="E563" s="20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31"/>
      <c r="AP563" s="39">
        <v>3</v>
      </c>
      <c r="AQ563" s="39"/>
      <c r="AR563" s="39"/>
    </row>
    <row r="564" spans="4:44" ht="19" customHeight="1" thickBot="1" x14ac:dyDescent="0.45">
      <c r="D564" s="22" t="s">
        <v>41</v>
      </c>
      <c r="E564" s="20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31"/>
      <c r="AP564" s="39">
        <v>2</v>
      </c>
      <c r="AQ564" s="39"/>
      <c r="AR564" s="39"/>
    </row>
    <row r="565" spans="4:44" ht="19" customHeight="1" thickBot="1" x14ac:dyDescent="0.45">
      <c r="D565" s="22" t="s">
        <v>42</v>
      </c>
      <c r="E565" s="20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31"/>
      <c r="AP565" s="39">
        <v>2</v>
      </c>
      <c r="AQ565" s="39"/>
      <c r="AR565" s="39"/>
    </row>
    <row r="566" spans="4:44" ht="19" customHeight="1" thickBot="1" x14ac:dyDescent="0.45"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32"/>
      <c r="AP566" s="26"/>
      <c r="AQ566" s="26"/>
      <c r="AR566" s="26"/>
    </row>
    <row r="567" spans="4:44" ht="19" customHeight="1" thickBot="1" x14ac:dyDescent="0.45">
      <c r="D567" s="21" t="s">
        <v>43</v>
      </c>
      <c r="E567" s="20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31"/>
      <c r="AP567" s="39">
        <v>2</v>
      </c>
      <c r="AQ567" s="39"/>
      <c r="AR567" s="39"/>
    </row>
    <row r="568" spans="4:44" ht="19" customHeight="1" thickBot="1" x14ac:dyDescent="0.45">
      <c r="D568" s="22" t="s">
        <v>44</v>
      </c>
      <c r="E568" s="20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31"/>
      <c r="AP568" s="39">
        <v>2</v>
      </c>
      <c r="AQ568" s="39"/>
      <c r="AR568" s="39"/>
    </row>
    <row r="569" spans="4:44" ht="19" customHeight="1" thickBot="1" x14ac:dyDescent="0.45">
      <c r="D569" s="22" t="s">
        <v>45</v>
      </c>
      <c r="E569" s="20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31"/>
      <c r="AP569" s="39">
        <v>1</v>
      </c>
      <c r="AQ569" s="39"/>
      <c r="AR569" s="39"/>
    </row>
    <row r="570" spans="4:44" ht="19" customHeight="1" thickBot="1" x14ac:dyDescent="0.45">
      <c r="D570" s="22" t="s">
        <v>46</v>
      </c>
      <c r="E570" s="20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31"/>
      <c r="AP570" s="39">
        <v>2</v>
      </c>
      <c r="AQ570" s="39"/>
      <c r="AR570" s="39"/>
    </row>
    <row r="571" spans="4:44" ht="19" customHeight="1" thickBot="1" x14ac:dyDescent="0.45">
      <c r="D571" s="22" t="s">
        <v>47</v>
      </c>
      <c r="E571" s="20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31"/>
      <c r="AP571" s="39">
        <v>2</v>
      </c>
      <c r="AQ571" s="39"/>
      <c r="AR571" s="39"/>
    </row>
    <row r="572" spans="4:44" ht="19" customHeight="1" thickBot="1" x14ac:dyDescent="0.45">
      <c r="D572" s="22" t="s">
        <v>48</v>
      </c>
      <c r="E572" s="20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31"/>
      <c r="AP572" s="39">
        <v>3</v>
      </c>
      <c r="AQ572" s="39"/>
      <c r="AR572" s="39"/>
    </row>
    <row r="573" spans="4:44" ht="19" customHeight="1" thickBot="1" x14ac:dyDescent="0.45">
      <c r="D573" s="22" t="s">
        <v>49</v>
      </c>
      <c r="E573" s="20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31"/>
      <c r="AP573" s="39">
        <v>2</v>
      </c>
      <c r="AQ573" s="39"/>
      <c r="AR573" s="39"/>
    </row>
    <row r="574" spans="4:44" ht="19" customHeight="1" thickBot="1" x14ac:dyDescent="0.45">
      <c r="D574" s="22" t="s">
        <v>50</v>
      </c>
      <c r="E574" s="20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31"/>
      <c r="AP574" s="39">
        <v>1</v>
      </c>
      <c r="AQ574" s="39"/>
      <c r="AR574" s="39"/>
    </row>
    <row r="575" spans="4:44" ht="19" customHeight="1" thickBot="1" x14ac:dyDescent="0.45">
      <c r="D575" s="22" t="s">
        <v>51</v>
      </c>
      <c r="E575" s="20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31"/>
      <c r="AP575" s="39">
        <v>1</v>
      </c>
      <c r="AQ575" s="39"/>
      <c r="AR575" s="39"/>
    </row>
    <row r="576" spans="4:44" ht="19" customHeight="1" thickBot="1" x14ac:dyDescent="0.45">
      <c r="D576" s="22" t="s">
        <v>52</v>
      </c>
      <c r="E576" s="20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31"/>
      <c r="AP576" s="39">
        <v>3</v>
      </c>
      <c r="AQ576" s="39"/>
      <c r="AR576" s="39"/>
    </row>
    <row r="577" spans="4:44" ht="19" customHeight="1" thickBot="1" x14ac:dyDescent="0.45">
      <c r="D577" s="22" t="s">
        <v>53</v>
      </c>
      <c r="E577" s="20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31"/>
      <c r="AP577" s="39">
        <v>2</v>
      </c>
      <c r="AQ577" s="39"/>
      <c r="AR577" s="39"/>
    </row>
    <row r="578" spans="4:44" ht="19" customHeight="1" thickBot="1" x14ac:dyDescent="0.45">
      <c r="D578" s="22" t="s">
        <v>54</v>
      </c>
      <c r="E578" s="20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31"/>
      <c r="AP578" s="39">
        <v>1</v>
      </c>
      <c r="AQ578" s="39"/>
      <c r="AR578" s="39"/>
    </row>
    <row r="579" spans="4:44" ht="19" customHeight="1" thickBot="1" x14ac:dyDescent="0.45">
      <c r="D579" s="22" t="s">
        <v>55</v>
      </c>
      <c r="E579" s="20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31"/>
      <c r="AP579" s="39">
        <v>1</v>
      </c>
      <c r="AQ579" s="39"/>
      <c r="AR579" s="39"/>
    </row>
    <row r="580" spans="4:44" ht="19" customHeight="1" thickBot="1" x14ac:dyDescent="0.45">
      <c r="D580" s="22" t="s">
        <v>56</v>
      </c>
      <c r="E580" s="20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31"/>
      <c r="AP580" s="39">
        <v>2</v>
      </c>
      <c r="AQ580" s="39"/>
      <c r="AR580" s="39"/>
    </row>
    <row r="581" spans="4:44" ht="19" customHeight="1" thickBot="1" x14ac:dyDescent="0.45">
      <c r="D581" s="22" t="s">
        <v>57</v>
      </c>
      <c r="E581" s="20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31"/>
      <c r="AP581" s="39">
        <v>2</v>
      </c>
      <c r="AQ581" s="39"/>
      <c r="AR581" s="39"/>
    </row>
    <row r="582" spans="4:44" ht="19" customHeight="1" x14ac:dyDescent="0.4">
      <c r="D582" s="8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30"/>
      <c r="AQ582" s="30"/>
      <c r="AR582" s="30"/>
    </row>
    <row r="583" spans="4:44" ht="19" customHeight="1" x14ac:dyDescent="0.4">
      <c r="D583" s="8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30"/>
      <c r="AQ583" s="30"/>
      <c r="AR583" s="30"/>
    </row>
    <row r="584" spans="4:44" ht="19" customHeight="1" x14ac:dyDescent="0.4">
      <c r="D584" s="8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30"/>
      <c r="AQ584" s="30"/>
      <c r="AR584" s="30"/>
    </row>
    <row r="585" spans="4:44" ht="19" customHeight="1" x14ac:dyDescent="0.4">
      <c r="D585" s="8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30"/>
      <c r="AQ585" s="30"/>
      <c r="AR585" s="30"/>
    </row>
    <row r="586" spans="4:44" ht="19" customHeight="1" x14ac:dyDescent="0.4">
      <c r="D586" s="8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30"/>
      <c r="AQ586" s="30"/>
      <c r="AR586" s="30"/>
    </row>
    <row r="587" spans="4:44" ht="19" customHeight="1" x14ac:dyDescent="0.4">
      <c r="D587" s="8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30"/>
      <c r="AQ587" s="30"/>
      <c r="AR587" s="30"/>
    </row>
    <row r="588" spans="4:44" ht="19" customHeight="1" x14ac:dyDescent="0.4">
      <c r="D588" s="9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30"/>
      <c r="AQ588" s="30"/>
      <c r="AR588" s="30"/>
    </row>
    <row r="589" spans="4:44" ht="19" customHeight="1" x14ac:dyDescent="0.4">
      <c r="D589" s="9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30"/>
      <c r="AQ589" s="30"/>
      <c r="AR589" s="30"/>
    </row>
    <row r="590" spans="4:44" ht="12" customHeight="1" x14ac:dyDescent="0.4"/>
    <row r="591" spans="4:44" s="10" customFormat="1" ht="19" customHeight="1" x14ac:dyDescent="0.4">
      <c r="D591" s="41">
        <f>DATE(CalendarYear,11,1)</f>
        <v>45962</v>
      </c>
      <c r="E591" s="16" t="str">
        <f>IF(DAY(NovSun1)=1,"",IF(AND(YEAR(NovSun1+1)=CalendarYear,MONTH(NovSun1+1)=11),NovSun1+1,""))</f>
        <v/>
      </c>
      <c r="F591" s="16" t="str">
        <f>IF(DAY(NovSun1)=1,"",IF(AND(YEAR(NovSun1+2)=CalendarYear,MONTH(NovSun1+2)=11),NovSun1+2,""))</f>
        <v/>
      </c>
      <c r="G591" s="16" t="str">
        <f>IF(DAY(NovSun1)=1,"",IF(AND(YEAR(NovSun1+3)=CalendarYear,MONTH(NovSun1+3)=11),NovSun1+3,""))</f>
        <v/>
      </c>
      <c r="H591" s="16" t="str">
        <f>IF(DAY(NovSun1)=1,"",IF(AND(YEAR(NovSun1+4)=CalendarYear,MONTH(NovSun1+4)=11),NovSun1+4,""))</f>
        <v/>
      </c>
      <c r="I591" s="16" t="str">
        <f>IF(DAY(NovSun1)=1,"",IF(AND(YEAR(NovSun1+5)=CalendarYear,MONTH(NovSun1+5)=11),NovSun1+5,""))</f>
        <v/>
      </c>
      <c r="J591" s="16" t="str">
        <f>IF(DAY(NovSun1)=1,"",IF(AND(YEAR(NovSun1+6)=CalendarYear,MONTH(NovSun1+6)=11),NovSun1+6,""))</f>
        <v/>
      </c>
      <c r="K591" s="16">
        <f>IF(DAY(NovSun1)=1,IF(AND(YEAR(NovSun1)=CalendarYear,MONTH(NovSun1)=11),NovSun1,""),IF(AND(YEAR(NovSun1+7)=CalendarYear,MONTH(NovSun1+7)=11),NovSun1+7,""))</f>
        <v>45962</v>
      </c>
      <c r="L591" s="16">
        <f>IF(DAY(NovSun1)=1,IF(AND(YEAR(NovSun1+1)=CalendarYear,MONTH(NovSun1+1)=11),NovSun1+1,""),IF(AND(YEAR(NovSun1+8)=CalendarYear,MONTH(NovSun1+8)=11),NovSun1+8,""))</f>
        <v>45963</v>
      </c>
      <c r="M591" s="16">
        <f>IF(DAY(NovSun1)=1,IF(AND(YEAR(NovSun1+2)=CalendarYear,MONTH(NovSun1+2)=11),NovSun1+2,""),IF(AND(YEAR(NovSun1+9)=CalendarYear,MONTH(NovSun1+9)=11),NovSun1+9,""))</f>
        <v>45964</v>
      </c>
      <c r="N591" s="16">
        <f>IF(DAY(NovSun1)=1,IF(AND(YEAR(NovSun1+3)=CalendarYear,MONTH(NovSun1+3)=11),NovSun1+3,""),IF(AND(YEAR(NovSun1+10)=CalendarYear,MONTH(NovSun1+10)=11),NovSun1+10,""))</f>
        <v>45965</v>
      </c>
      <c r="O591" s="16">
        <f>IF(DAY(NovSun1)=1,IF(AND(YEAR(NovSun1+4)=CalendarYear,MONTH(NovSun1+4)=11),NovSun1+4,""),IF(AND(YEAR(NovSun1+11)=CalendarYear,MONTH(NovSun1+11)=11),NovSun1+11,""))</f>
        <v>45966</v>
      </c>
      <c r="P591" s="16">
        <f>IF(DAY(NovSun1)=1,IF(AND(YEAR(NovSun1+5)=CalendarYear,MONTH(NovSun1+5)=11),NovSun1+5,""),IF(AND(YEAR(NovSun1+12)=CalendarYear,MONTH(NovSun1+12)=11),NovSun1+12,""))</f>
        <v>45967</v>
      </c>
      <c r="Q591" s="16">
        <f>IF(DAY(NovSun1)=1,IF(AND(YEAR(NovSun1+6)=CalendarYear,MONTH(NovSun1+6)=11),NovSun1+6,""),IF(AND(YEAR(NovSun1+13)=CalendarYear,MONTH(NovSun1+13)=11),NovSun1+13,""))</f>
        <v>45968</v>
      </c>
      <c r="R591" s="16">
        <f>IF(DAY(NovSun1)=1,IF(AND(YEAR(NovSun1+7)=CalendarYear,MONTH(NovSun1+7)=11),NovSun1+7,""),IF(AND(YEAR(NovSun1+14)=CalendarYear,MONTH(NovSun1+14)=11),NovSun1+14,""))</f>
        <v>45969</v>
      </c>
      <c r="S591" s="16">
        <f>IF(DAY(NovSun1)=1,IF(AND(YEAR(NovSun1+8)=CalendarYear,MONTH(NovSun1+8)=11),NovSun1+8,""),IF(AND(YEAR(NovSun1+15)=CalendarYear,MONTH(NovSun1+15)=11),NovSun1+15,""))</f>
        <v>45970</v>
      </c>
      <c r="T591" s="16">
        <f>IF(DAY(NovSun1)=1,IF(AND(YEAR(NovSun1+9)=CalendarYear,MONTH(NovSun1+9)=11),NovSun1+9,""),IF(AND(YEAR(NovSun1+16)=CalendarYear,MONTH(NovSun1+16)=11),NovSun1+16,""))</f>
        <v>45971</v>
      </c>
      <c r="U591" s="16">
        <f>IF(DAY(NovSun1)=1,IF(AND(YEAR(NovSun1+10)=CalendarYear,MONTH(NovSun1+10)=11),NovSun1+10,""),IF(AND(YEAR(NovSun1+17)=CalendarYear,MONTH(NovSun1+17)=11),NovSun1+17,""))</f>
        <v>45972</v>
      </c>
      <c r="V591" s="16">
        <f>IF(DAY(NovSun1)=1,IF(AND(YEAR(NovSun1+11)=CalendarYear,MONTH(NovSun1+11)=11),NovSun1+11,""),IF(AND(YEAR(NovSun1+18)=CalendarYear,MONTH(NovSun1+18)=11),NovSun1+18,""))</f>
        <v>45973</v>
      </c>
      <c r="W591" s="16">
        <f>IF(DAY(NovSun1)=1,IF(AND(YEAR(NovSun1+12)=CalendarYear,MONTH(NovSun1+12)=11),NovSun1+12,""),IF(AND(YEAR(NovSun1+19)=CalendarYear,MONTH(NovSun1+19)=11),NovSun1+19,""))</f>
        <v>45974</v>
      </c>
      <c r="X591" s="16">
        <f>IF(DAY(NovSun1)=1,IF(AND(YEAR(NovSun1+13)=CalendarYear,MONTH(NovSun1+13)=11),NovSun1+13,""),IF(AND(YEAR(NovSun1+20)=CalendarYear,MONTH(NovSun1+20)=11),NovSun1+20,""))</f>
        <v>45975</v>
      </c>
      <c r="Y591" s="16">
        <f>IF(DAY(NovSun1)=1,IF(AND(YEAR(NovSun1+14)=CalendarYear,MONTH(NovSun1+14)=11),NovSun1+14,""),IF(AND(YEAR(NovSun1+21)=CalendarYear,MONTH(NovSun1+21)=11),NovSun1+21,""))</f>
        <v>45976</v>
      </c>
      <c r="Z591" s="16">
        <f>IF(DAY(NovSun1)=1,IF(AND(YEAR(NovSun1+15)=CalendarYear,MONTH(NovSun1+15)=11),NovSun1+15,""),IF(AND(YEAR(NovSun1+22)=CalendarYear,MONTH(NovSun1+22)=11),NovSun1+22,""))</f>
        <v>45977</v>
      </c>
      <c r="AA591" s="16">
        <f>IF(DAY(NovSun1)=1,IF(AND(YEAR(NovSun1+16)=CalendarYear,MONTH(NovSun1+16)=11),NovSun1+16,""),IF(AND(YEAR(NovSun1+23)=CalendarYear,MONTH(NovSun1+23)=11),NovSun1+23,""))</f>
        <v>45978</v>
      </c>
      <c r="AB591" s="16">
        <f>IF(DAY(NovSun1)=1,IF(AND(YEAR(NovSun1+17)=CalendarYear,MONTH(NovSun1+17)=11),NovSun1+17,""),IF(AND(YEAR(NovSun1+24)=CalendarYear,MONTH(NovSun1+24)=11),NovSun1+24,""))</f>
        <v>45979</v>
      </c>
      <c r="AC591" s="16">
        <f>IF(DAY(NovSun1)=1,IF(AND(YEAR(NovSun1+18)=CalendarYear,MONTH(NovSun1+18)=11),NovSun1+18,""),IF(AND(YEAR(NovSun1+25)=CalendarYear,MONTH(NovSun1+25)=11),NovSun1+25,""))</f>
        <v>45980</v>
      </c>
      <c r="AD591" s="16">
        <f>IF(DAY(NovSun1)=1,IF(AND(YEAR(NovSun1+19)=CalendarYear,MONTH(NovSun1+19)=11),NovSun1+19,""),IF(AND(YEAR(NovSun1+26)=CalendarYear,MONTH(NovSun1+26)=11),NovSun1+26,""))</f>
        <v>45981</v>
      </c>
      <c r="AE591" s="16">
        <f>IF(DAY(NovSun1)=1,IF(AND(YEAR(NovSun1+20)=CalendarYear,MONTH(NovSun1+20)=11),NovSun1+20,""),IF(AND(YEAR(NovSun1+27)=CalendarYear,MONTH(NovSun1+27)=11),NovSun1+27,""))</f>
        <v>45982</v>
      </c>
      <c r="AF591" s="16">
        <f>IF(DAY(NovSun1)=1,IF(AND(YEAR(NovSun1+21)=CalendarYear,MONTH(NovSun1+21)=11),NovSun1+21,""),IF(AND(YEAR(NovSun1+28)=CalendarYear,MONTH(NovSun1+28)=11),NovSun1+28,""))</f>
        <v>45983</v>
      </c>
      <c r="AG591" s="16">
        <f>IF(DAY(NovSun1)=1,IF(AND(YEAR(NovSun1+22)=CalendarYear,MONTH(NovSun1+22)=11),NovSun1+22,""),IF(AND(YEAR(NovSun1+29)=CalendarYear,MONTH(NovSun1+29)=11),NovSun1+29,""))</f>
        <v>45984</v>
      </c>
      <c r="AH591" s="16">
        <f>IF(DAY(NovSun1)=1,IF(AND(YEAR(NovSun1+23)=CalendarYear,MONTH(NovSun1+23)=11),NovSun1+23,""),IF(AND(YEAR(NovSun1+30)=CalendarYear,MONTH(NovSun1+30)=11),NovSun1+30,""))</f>
        <v>45985</v>
      </c>
      <c r="AI591" s="16">
        <f>IF(DAY(NovSun1)=1,IF(AND(YEAR(NovSun1+24)=CalendarYear,MONTH(NovSun1+24)=11),NovSun1+24,""),IF(AND(YEAR(NovSun1+31)=CalendarYear,MONTH(NovSun1+31)=11),NovSun1+31,""))</f>
        <v>45986</v>
      </c>
      <c r="AJ591" s="16">
        <f>IF(DAY(NovSun1)=1,IF(AND(YEAR(NovSun1+25)=CalendarYear,MONTH(NovSun1+25)=11),NovSun1+25,""),IF(AND(YEAR(NovSun1+32)=CalendarYear,MONTH(NovSun1+32)=11),NovSun1+32,""))</f>
        <v>45987</v>
      </c>
      <c r="AK591" s="16">
        <f>IF(DAY(NovSun1)=1,IF(AND(YEAR(NovSun1+26)=CalendarYear,MONTH(NovSun1+26)=11),NovSun1+26,""),IF(AND(YEAR(NovSun1+33)=CalendarYear,MONTH(NovSun1+33)=11),NovSun1+33,""))</f>
        <v>45988</v>
      </c>
      <c r="AL591" s="16">
        <f>IF(DAY(NovSun1)=1,IF(AND(YEAR(NovSun1+27)=CalendarYear,MONTH(NovSun1+27)=11),NovSun1+27,""),IF(AND(YEAR(NovSun1+34)=CalendarYear,MONTH(NovSun1+34)=11),NovSun1+34,""))</f>
        <v>45989</v>
      </c>
      <c r="AM591" s="16">
        <f>IF(DAY(NovSun1)=1,IF(AND(YEAR(NovSun1+28)=CalendarYear,MONTH(NovSun1+28)=11),NovSun1+28,""),IF(AND(YEAR(NovSun1+35)=CalendarYear,MONTH(NovSun1+35)=11),NovSun1+35,""))</f>
        <v>45990</v>
      </c>
      <c r="AN591" s="16">
        <f>IF(DAY(NovSun1)=1,IF(AND(YEAR(NovSun1+29)=CalendarYear,MONTH(NovSun1+29)=11),NovSun1+29,""),IF(AND(YEAR(NovSun1+36)=CalendarYear,MONTH(NovSun1+36)=11),NovSun1+36,""))</f>
        <v>45991</v>
      </c>
      <c r="AO591" s="17" t="str">
        <f>IF(DAY(NovSun1)=1,IF(AND(YEAR(NovSun1+30)=CalendarYear,MONTH(NovSun1+30)=11),NovSun1+30,""),IF(AND(YEAR(NovSun1+37)=CalendarYear,MONTH(NovSun1+37)=11),NovSun1+37,""))</f>
        <v/>
      </c>
      <c r="AP591" s="29"/>
      <c r="AQ591" s="29"/>
      <c r="AR591" s="29"/>
    </row>
    <row r="592" spans="4:44" s="10" customFormat="1" ht="19" customHeight="1" thickBot="1" x14ac:dyDescent="0.45">
      <c r="D592" s="43"/>
      <c r="E592" s="18" t="s">
        <v>2</v>
      </c>
      <c r="F592" s="18" t="s">
        <v>3</v>
      </c>
      <c r="G592" s="18" t="s">
        <v>4</v>
      </c>
      <c r="H592" s="18" t="s">
        <v>5</v>
      </c>
      <c r="I592" s="18" t="s">
        <v>6</v>
      </c>
      <c r="J592" s="18" t="s">
        <v>7</v>
      </c>
      <c r="K592" s="18" t="s">
        <v>8</v>
      </c>
      <c r="L592" s="18" t="s">
        <v>2</v>
      </c>
      <c r="M592" s="18" t="s">
        <v>3</v>
      </c>
      <c r="N592" s="18" t="s">
        <v>4</v>
      </c>
      <c r="O592" s="18" t="s">
        <v>5</v>
      </c>
      <c r="P592" s="18" t="s">
        <v>6</v>
      </c>
      <c r="Q592" s="18" t="s">
        <v>7</v>
      </c>
      <c r="R592" s="18" t="s">
        <v>8</v>
      </c>
      <c r="S592" s="18" t="s">
        <v>2</v>
      </c>
      <c r="T592" s="18" t="s">
        <v>3</v>
      </c>
      <c r="U592" s="18" t="s">
        <v>4</v>
      </c>
      <c r="V592" s="18" t="s">
        <v>5</v>
      </c>
      <c r="W592" s="18" t="s">
        <v>6</v>
      </c>
      <c r="X592" s="18" t="s">
        <v>7</v>
      </c>
      <c r="Y592" s="18" t="s">
        <v>8</v>
      </c>
      <c r="Z592" s="18" t="s">
        <v>2</v>
      </c>
      <c r="AA592" s="18" t="s">
        <v>3</v>
      </c>
      <c r="AB592" s="18" t="s">
        <v>4</v>
      </c>
      <c r="AC592" s="18" t="s">
        <v>5</v>
      </c>
      <c r="AD592" s="18" t="s">
        <v>6</v>
      </c>
      <c r="AE592" s="18" t="s">
        <v>7</v>
      </c>
      <c r="AF592" s="18" t="s">
        <v>8</v>
      </c>
      <c r="AG592" s="18" t="s">
        <v>2</v>
      </c>
      <c r="AH592" s="18" t="s">
        <v>3</v>
      </c>
      <c r="AI592" s="18" t="s">
        <v>4</v>
      </c>
      <c r="AJ592" s="18" t="s">
        <v>5</v>
      </c>
      <c r="AK592" s="18" t="s">
        <v>6</v>
      </c>
      <c r="AL592" s="18" t="s">
        <v>7</v>
      </c>
      <c r="AM592" s="18" t="s">
        <v>8</v>
      </c>
      <c r="AN592" s="18" t="s">
        <v>2</v>
      </c>
      <c r="AO592" s="19" t="s">
        <v>3</v>
      </c>
      <c r="AP592" s="23"/>
      <c r="AQ592" s="23"/>
      <c r="AR592" s="23"/>
    </row>
    <row r="593" spans="4:44" ht="19" customHeight="1" thickBot="1" x14ac:dyDescent="0.45">
      <c r="D593" s="21" t="s">
        <v>10</v>
      </c>
      <c r="E593" s="20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31"/>
      <c r="AP593" s="39">
        <v>2</v>
      </c>
      <c r="AQ593" s="39"/>
      <c r="AR593" s="39"/>
    </row>
    <row r="594" spans="4:44" ht="19" customHeight="1" thickBot="1" x14ac:dyDescent="0.45">
      <c r="D594" s="22" t="s">
        <v>11</v>
      </c>
      <c r="E594" s="20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31"/>
      <c r="AP594" s="39">
        <v>32</v>
      </c>
      <c r="AQ594" s="39"/>
      <c r="AR594" s="39"/>
    </row>
    <row r="595" spans="4:44" ht="19" customHeight="1" thickBot="1" x14ac:dyDescent="0.45">
      <c r="D595" s="22" t="s">
        <v>12</v>
      </c>
      <c r="E595" s="20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31"/>
      <c r="AP595" s="39">
        <v>61</v>
      </c>
      <c r="AQ595" s="39"/>
      <c r="AR595" s="39"/>
    </row>
    <row r="596" spans="4:44" ht="19" customHeight="1" thickBot="1" x14ac:dyDescent="0.45">
      <c r="D596" s="22" t="s">
        <v>13</v>
      </c>
      <c r="E596" s="20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31"/>
      <c r="AP596" s="39">
        <v>7</v>
      </c>
      <c r="AQ596" s="39"/>
      <c r="AR596" s="39"/>
    </row>
    <row r="597" spans="4:44" ht="19" customHeight="1" thickBot="1" x14ac:dyDescent="0.45">
      <c r="D597" s="22" t="s">
        <v>14</v>
      </c>
      <c r="E597" s="20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31"/>
      <c r="AP597" s="39">
        <v>7</v>
      </c>
      <c r="AQ597" s="39"/>
      <c r="AR597" s="39"/>
    </row>
    <row r="598" spans="4:44" ht="19" customHeight="1" thickBot="1" x14ac:dyDescent="0.45">
      <c r="D598" s="22" t="s">
        <v>15</v>
      </c>
      <c r="E598" s="20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31"/>
      <c r="AP598" s="39">
        <v>10</v>
      </c>
      <c r="AQ598" s="39"/>
      <c r="AR598" s="39"/>
    </row>
    <row r="599" spans="4:44" ht="19" customHeight="1" thickBot="1" x14ac:dyDescent="0.45">
      <c r="D599" s="22" t="s">
        <v>16</v>
      </c>
      <c r="E599" s="20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31"/>
      <c r="AP599" s="39">
        <v>2</v>
      </c>
      <c r="AQ599" s="39"/>
      <c r="AR599" s="39"/>
    </row>
    <row r="600" spans="4:44" ht="19" customHeight="1" thickBot="1" x14ac:dyDescent="0.45">
      <c r="D600" s="22" t="s">
        <v>17</v>
      </c>
      <c r="E600" s="20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31"/>
      <c r="AP600" s="39">
        <v>4</v>
      </c>
      <c r="AQ600" s="39"/>
      <c r="AR600" s="39"/>
    </row>
    <row r="601" spans="4:44" ht="19" customHeight="1" thickBot="1" x14ac:dyDescent="0.45">
      <c r="D601" s="22" t="s">
        <v>18</v>
      </c>
      <c r="E601" s="20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31"/>
      <c r="AP601" s="39">
        <v>2</v>
      </c>
      <c r="AQ601" s="39"/>
      <c r="AR601" s="39"/>
    </row>
    <row r="602" spans="4:44" ht="19" customHeight="1" thickBot="1" x14ac:dyDescent="0.45">
      <c r="D602" s="22" t="s">
        <v>19</v>
      </c>
      <c r="E602" s="20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31"/>
      <c r="AP602" s="39">
        <v>6</v>
      </c>
      <c r="AQ602" s="39"/>
      <c r="AR602" s="39"/>
    </row>
    <row r="603" spans="4:44" ht="19" customHeight="1" thickBot="1" x14ac:dyDescent="0.45">
      <c r="D603" s="22" t="s">
        <v>20</v>
      </c>
      <c r="E603" s="20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31"/>
      <c r="AP603" s="39">
        <v>13</v>
      </c>
      <c r="AQ603" s="39"/>
      <c r="AR603" s="39"/>
    </row>
    <row r="604" spans="4:44" ht="19" customHeight="1" thickBot="1" x14ac:dyDescent="0.45">
      <c r="D604" s="22" t="s">
        <v>21</v>
      </c>
      <c r="E604" s="20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31"/>
      <c r="AP604" s="39">
        <v>1</v>
      </c>
      <c r="AQ604" s="39"/>
      <c r="AR604" s="39"/>
    </row>
    <row r="605" spans="4:44" ht="19" customHeight="1" thickBot="1" x14ac:dyDescent="0.45">
      <c r="D605" s="22" t="s">
        <v>22</v>
      </c>
      <c r="E605" s="20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31"/>
      <c r="AP605" s="39">
        <v>6</v>
      </c>
      <c r="AQ605" s="39"/>
      <c r="AR605" s="39"/>
    </row>
    <row r="606" spans="4:44" ht="19" customHeight="1" thickBot="1" x14ac:dyDescent="0.45"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26"/>
      <c r="AO606" s="26"/>
      <c r="AP606" s="26"/>
      <c r="AQ606" s="26"/>
      <c r="AR606" s="26"/>
    </row>
    <row r="607" spans="4:44" ht="19" customHeight="1" thickBot="1" x14ac:dyDescent="0.45">
      <c r="D607" s="21" t="s">
        <v>23</v>
      </c>
      <c r="E607" s="20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31"/>
      <c r="AP607" s="39" t="s">
        <v>24</v>
      </c>
      <c r="AQ607" s="39"/>
      <c r="AR607" s="39"/>
    </row>
    <row r="608" spans="4:44" ht="19" customHeight="1" thickBot="1" x14ac:dyDescent="0.45">
      <c r="D608" s="22" t="s">
        <v>25</v>
      </c>
      <c r="E608" s="20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31"/>
      <c r="AP608" s="39" t="s">
        <v>26</v>
      </c>
      <c r="AQ608" s="39"/>
      <c r="AR608" s="39"/>
    </row>
    <row r="609" spans="4:44" ht="19" customHeight="1" thickBot="1" x14ac:dyDescent="0.45">
      <c r="D609" s="22" t="s">
        <v>27</v>
      </c>
      <c r="E609" s="20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31"/>
      <c r="AP609" s="39" t="s">
        <v>28</v>
      </c>
      <c r="AQ609" s="39"/>
      <c r="AR609" s="39"/>
    </row>
    <row r="610" spans="4:44" ht="19" customHeight="1" thickBot="1" x14ac:dyDescent="0.45">
      <c r="D610" s="22" t="s">
        <v>29</v>
      </c>
      <c r="E610" s="20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31"/>
      <c r="AP610" s="39">
        <v>34</v>
      </c>
      <c r="AQ610" s="39"/>
      <c r="AR610" s="39"/>
    </row>
    <row r="611" spans="4:44" ht="19" customHeight="1" thickBot="1" x14ac:dyDescent="0.45">
      <c r="D611" s="22" t="s">
        <v>30</v>
      </c>
      <c r="E611" s="20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31"/>
      <c r="AP611" s="39">
        <v>13</v>
      </c>
      <c r="AQ611" s="39"/>
      <c r="AR611" s="39"/>
    </row>
    <row r="612" spans="4:44" ht="19" customHeight="1" thickBot="1" x14ac:dyDescent="0.45">
      <c r="D612" s="22" t="s">
        <v>31</v>
      </c>
      <c r="E612" s="20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31"/>
      <c r="AP612" s="39">
        <v>16</v>
      </c>
      <c r="AQ612" s="39"/>
      <c r="AR612" s="39"/>
    </row>
    <row r="613" spans="4:44" ht="19" customHeight="1" thickBot="1" x14ac:dyDescent="0.45">
      <c r="D613" s="22" t="s">
        <v>32</v>
      </c>
      <c r="E613" s="20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31"/>
      <c r="AP613" s="39">
        <v>15</v>
      </c>
      <c r="AQ613" s="39"/>
      <c r="AR613" s="39"/>
    </row>
    <row r="614" spans="4:44" ht="19" customHeight="1" thickBot="1" x14ac:dyDescent="0.45"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  <c r="AL614" s="26"/>
      <c r="AM614" s="26"/>
      <c r="AN614" s="26"/>
      <c r="AO614" s="32"/>
      <c r="AP614" s="26"/>
      <c r="AQ614" s="26"/>
      <c r="AR614" s="26"/>
    </row>
    <row r="615" spans="4:44" ht="19" customHeight="1" thickBot="1" x14ac:dyDescent="0.45">
      <c r="D615" s="21" t="s">
        <v>33</v>
      </c>
      <c r="E615" s="20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31"/>
      <c r="AP615" s="39">
        <v>3</v>
      </c>
      <c r="AQ615" s="39"/>
      <c r="AR615" s="39"/>
    </row>
    <row r="616" spans="4:44" ht="19" customHeight="1" thickBot="1" x14ac:dyDescent="0.45">
      <c r="D616" s="22" t="s">
        <v>34</v>
      </c>
      <c r="E616" s="20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31"/>
      <c r="AP616" s="39">
        <v>7</v>
      </c>
      <c r="AQ616" s="39"/>
      <c r="AR616" s="39"/>
    </row>
    <row r="617" spans="4:44" ht="19" customHeight="1" thickBot="1" x14ac:dyDescent="0.45">
      <c r="D617" s="22" t="s">
        <v>35</v>
      </c>
      <c r="E617" s="20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31"/>
      <c r="AP617" s="39">
        <v>2</v>
      </c>
      <c r="AQ617" s="39"/>
      <c r="AR617" s="39"/>
    </row>
    <row r="618" spans="4:44" ht="19" customHeight="1" thickBot="1" x14ac:dyDescent="0.45">
      <c r="D618" s="22" t="s">
        <v>36</v>
      </c>
      <c r="E618" s="20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31"/>
      <c r="AP618" s="39">
        <v>4</v>
      </c>
      <c r="AQ618" s="39"/>
      <c r="AR618" s="39"/>
    </row>
    <row r="619" spans="4:44" ht="19" customHeight="1" thickBot="1" x14ac:dyDescent="0.45">
      <c r="D619" s="22" t="s">
        <v>37</v>
      </c>
      <c r="E619" s="20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31"/>
      <c r="AP619" s="39">
        <v>2</v>
      </c>
      <c r="AQ619" s="39"/>
      <c r="AR619" s="39"/>
    </row>
    <row r="620" spans="4:44" ht="19" customHeight="1" thickBot="1" x14ac:dyDescent="0.45">
      <c r="D620" s="22" t="s">
        <v>38</v>
      </c>
      <c r="E620" s="20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31"/>
      <c r="AP620" s="39">
        <v>8</v>
      </c>
      <c r="AQ620" s="39"/>
      <c r="AR620" s="39"/>
    </row>
    <row r="621" spans="4:44" ht="19" customHeight="1" thickBot="1" x14ac:dyDescent="0.45"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33"/>
      <c r="AP621" s="34"/>
      <c r="AQ621" s="34"/>
      <c r="AR621" s="34"/>
    </row>
    <row r="622" spans="4:44" ht="19" customHeight="1" thickBot="1" x14ac:dyDescent="0.45">
      <c r="D622" s="21" t="s">
        <v>39</v>
      </c>
      <c r="E622" s="20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31"/>
      <c r="AP622" s="39">
        <v>3</v>
      </c>
      <c r="AQ622" s="39"/>
      <c r="AR622" s="39"/>
    </row>
    <row r="623" spans="4:44" ht="19" customHeight="1" thickBot="1" x14ac:dyDescent="0.45">
      <c r="D623" s="22" t="s">
        <v>40</v>
      </c>
      <c r="E623" s="20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31"/>
      <c r="AP623" s="39">
        <v>3</v>
      </c>
      <c r="AQ623" s="39"/>
      <c r="AR623" s="39"/>
    </row>
    <row r="624" spans="4:44" ht="19" customHeight="1" thickBot="1" x14ac:dyDescent="0.45">
      <c r="D624" s="22" t="s">
        <v>41</v>
      </c>
      <c r="E624" s="20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31"/>
      <c r="AP624" s="39">
        <v>2</v>
      </c>
      <c r="AQ624" s="39"/>
      <c r="AR624" s="39"/>
    </row>
    <row r="625" spans="4:44" ht="19" customHeight="1" thickBot="1" x14ac:dyDescent="0.45">
      <c r="D625" s="22" t="s">
        <v>42</v>
      </c>
      <c r="E625" s="20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31"/>
      <c r="AP625" s="39">
        <v>2</v>
      </c>
      <c r="AQ625" s="39"/>
      <c r="AR625" s="39"/>
    </row>
    <row r="626" spans="4:44" ht="19" customHeight="1" thickBot="1" x14ac:dyDescent="0.45"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32"/>
      <c r="AP626" s="26"/>
      <c r="AQ626" s="26"/>
      <c r="AR626" s="26"/>
    </row>
    <row r="627" spans="4:44" ht="19" customHeight="1" thickBot="1" x14ac:dyDescent="0.45">
      <c r="D627" s="21" t="s">
        <v>43</v>
      </c>
      <c r="E627" s="20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31"/>
      <c r="AP627" s="39">
        <v>2</v>
      </c>
      <c r="AQ627" s="39"/>
      <c r="AR627" s="39"/>
    </row>
    <row r="628" spans="4:44" ht="19" customHeight="1" thickBot="1" x14ac:dyDescent="0.45">
      <c r="D628" s="22" t="s">
        <v>44</v>
      </c>
      <c r="E628" s="20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31"/>
      <c r="AP628" s="39">
        <v>2</v>
      </c>
      <c r="AQ628" s="39"/>
      <c r="AR628" s="39"/>
    </row>
    <row r="629" spans="4:44" ht="19" customHeight="1" thickBot="1" x14ac:dyDescent="0.45">
      <c r="D629" s="22" t="s">
        <v>45</v>
      </c>
      <c r="E629" s="20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31"/>
      <c r="AP629" s="39">
        <v>1</v>
      </c>
      <c r="AQ629" s="39"/>
      <c r="AR629" s="39"/>
    </row>
    <row r="630" spans="4:44" ht="19" customHeight="1" thickBot="1" x14ac:dyDescent="0.45">
      <c r="D630" s="22" t="s">
        <v>46</v>
      </c>
      <c r="E630" s="20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31"/>
      <c r="AP630" s="39">
        <v>2</v>
      </c>
      <c r="AQ630" s="39"/>
      <c r="AR630" s="39"/>
    </row>
    <row r="631" spans="4:44" ht="19" customHeight="1" thickBot="1" x14ac:dyDescent="0.45">
      <c r="D631" s="22" t="s">
        <v>47</v>
      </c>
      <c r="E631" s="20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31"/>
      <c r="AP631" s="39">
        <v>2</v>
      </c>
      <c r="AQ631" s="39"/>
      <c r="AR631" s="39"/>
    </row>
    <row r="632" spans="4:44" ht="19" customHeight="1" thickBot="1" x14ac:dyDescent="0.45">
      <c r="D632" s="22" t="s">
        <v>48</v>
      </c>
      <c r="E632" s="20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31"/>
      <c r="AP632" s="39">
        <v>3</v>
      </c>
      <c r="AQ632" s="39"/>
      <c r="AR632" s="39"/>
    </row>
    <row r="633" spans="4:44" ht="19" customHeight="1" thickBot="1" x14ac:dyDescent="0.45">
      <c r="D633" s="22" t="s">
        <v>49</v>
      </c>
      <c r="E633" s="20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31"/>
      <c r="AP633" s="39">
        <v>2</v>
      </c>
      <c r="AQ633" s="39"/>
      <c r="AR633" s="39"/>
    </row>
    <row r="634" spans="4:44" ht="19" customHeight="1" thickBot="1" x14ac:dyDescent="0.45">
      <c r="D634" s="22" t="s">
        <v>50</v>
      </c>
      <c r="E634" s="20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31"/>
      <c r="AP634" s="39">
        <v>1</v>
      </c>
      <c r="AQ634" s="39"/>
      <c r="AR634" s="39"/>
    </row>
    <row r="635" spans="4:44" ht="19" customHeight="1" thickBot="1" x14ac:dyDescent="0.45">
      <c r="D635" s="22" t="s">
        <v>51</v>
      </c>
      <c r="E635" s="20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31"/>
      <c r="AP635" s="39">
        <v>1</v>
      </c>
      <c r="AQ635" s="39"/>
      <c r="AR635" s="39"/>
    </row>
    <row r="636" spans="4:44" ht="19" customHeight="1" thickBot="1" x14ac:dyDescent="0.45">
      <c r="D636" s="22" t="s">
        <v>52</v>
      </c>
      <c r="E636" s="20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31"/>
      <c r="AP636" s="39">
        <v>3</v>
      </c>
      <c r="AQ636" s="39"/>
      <c r="AR636" s="39"/>
    </row>
    <row r="637" spans="4:44" ht="19" customHeight="1" thickBot="1" x14ac:dyDescent="0.45">
      <c r="D637" s="22" t="s">
        <v>53</v>
      </c>
      <c r="E637" s="20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31"/>
      <c r="AP637" s="39">
        <v>2</v>
      </c>
      <c r="AQ637" s="39"/>
      <c r="AR637" s="39"/>
    </row>
    <row r="638" spans="4:44" ht="19" customHeight="1" thickBot="1" x14ac:dyDescent="0.45">
      <c r="D638" s="22" t="s">
        <v>54</v>
      </c>
      <c r="E638" s="20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31"/>
      <c r="AP638" s="39">
        <v>1</v>
      </c>
      <c r="AQ638" s="39"/>
      <c r="AR638" s="39"/>
    </row>
    <row r="639" spans="4:44" ht="19" customHeight="1" thickBot="1" x14ac:dyDescent="0.45">
      <c r="D639" s="22" t="s">
        <v>55</v>
      </c>
      <c r="E639" s="20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31"/>
      <c r="AP639" s="39">
        <v>1</v>
      </c>
      <c r="AQ639" s="39"/>
      <c r="AR639" s="39"/>
    </row>
    <row r="640" spans="4:44" ht="19" customHeight="1" thickBot="1" x14ac:dyDescent="0.45">
      <c r="D640" s="22" t="s">
        <v>56</v>
      </c>
      <c r="E640" s="20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31"/>
      <c r="AP640" s="39">
        <v>2</v>
      </c>
      <c r="AQ640" s="39"/>
      <c r="AR640" s="39"/>
    </row>
    <row r="641" spans="4:44" ht="19" customHeight="1" thickBot="1" x14ac:dyDescent="0.45">
      <c r="D641" s="22" t="s">
        <v>57</v>
      </c>
      <c r="E641" s="20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31"/>
      <c r="AP641" s="39">
        <v>2</v>
      </c>
      <c r="AQ641" s="39"/>
      <c r="AR641" s="39"/>
    </row>
    <row r="642" spans="4:44" ht="19" customHeight="1" x14ac:dyDescent="0.4">
      <c r="D642" s="8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30"/>
      <c r="AQ642" s="30"/>
      <c r="AR642" s="30"/>
    </row>
    <row r="643" spans="4:44" ht="19" customHeight="1" x14ac:dyDescent="0.4">
      <c r="D643" s="8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30"/>
      <c r="AQ643" s="30"/>
      <c r="AR643" s="30"/>
    </row>
    <row r="644" spans="4:44" ht="19" customHeight="1" x14ac:dyDescent="0.4">
      <c r="D644" s="8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30"/>
      <c r="AQ644" s="30"/>
      <c r="AR644" s="30"/>
    </row>
    <row r="645" spans="4:44" ht="19" customHeight="1" x14ac:dyDescent="0.4">
      <c r="D645" s="8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30"/>
      <c r="AQ645" s="30"/>
      <c r="AR645" s="30"/>
    </row>
    <row r="646" spans="4:44" ht="19" customHeight="1" x14ac:dyDescent="0.4">
      <c r="D646" s="8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30"/>
      <c r="AQ646" s="30"/>
      <c r="AR646" s="30"/>
    </row>
    <row r="647" spans="4:44" ht="19" customHeight="1" x14ac:dyDescent="0.4">
      <c r="D647" s="8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30"/>
      <c r="AQ647" s="30"/>
      <c r="AR647" s="30"/>
    </row>
    <row r="648" spans="4:44" ht="19" customHeight="1" x14ac:dyDescent="0.4">
      <c r="D648" s="9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30"/>
      <c r="AQ648" s="30"/>
      <c r="AR648" s="30"/>
    </row>
    <row r="649" spans="4:44" ht="19" customHeight="1" x14ac:dyDescent="0.4">
      <c r="D649" s="9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30"/>
      <c r="AQ649" s="30"/>
      <c r="AR649" s="30"/>
    </row>
    <row r="650" spans="4:44" ht="12" customHeight="1" x14ac:dyDescent="0.4"/>
    <row r="651" spans="4:44" s="10" customFormat="1" ht="19" customHeight="1" x14ac:dyDescent="0.4">
      <c r="D651" s="41">
        <f>DATE(CalendarYear,12,1)</f>
        <v>45992</v>
      </c>
      <c r="E651" s="16" t="str">
        <f>IF(DAY(DecSun1)=1,"",IF(AND(YEAR(DecSun1+1)=CalendarYear,MONTH(DecSun1+1)=12),DecSun1+1,""))</f>
        <v/>
      </c>
      <c r="F651" s="16">
        <f>IF(DAY(DecSun1)=1,"",IF(AND(YEAR(DecSun1+2)=CalendarYear,MONTH(DecSun1+2)=12),DecSun1+2,""))</f>
        <v>45992</v>
      </c>
      <c r="G651" s="16">
        <f>IF(DAY(DecSun1)=1,"",IF(AND(YEAR(DecSun1+3)=CalendarYear,MONTH(DecSun1+3)=12),DecSun1+3,""))</f>
        <v>45993</v>
      </c>
      <c r="H651" s="16">
        <f>IF(DAY(DecSun1)=1,"",IF(AND(YEAR(DecSun1+4)=CalendarYear,MONTH(DecSun1+4)=12),DecSun1+4,""))</f>
        <v>45994</v>
      </c>
      <c r="I651" s="16">
        <f>IF(DAY(DecSun1)=1,"",IF(AND(YEAR(DecSun1+5)=CalendarYear,MONTH(DecSun1+5)=12),DecSun1+5,""))</f>
        <v>45995</v>
      </c>
      <c r="J651" s="16">
        <f>IF(DAY(DecSun1)=1,"",IF(AND(YEAR(DecSun1+6)=CalendarYear,MONTH(DecSun1+6)=12),DecSun1+6,""))</f>
        <v>45996</v>
      </c>
      <c r="K651" s="16">
        <f>IF(DAY(DecSun1)=1,IF(AND(YEAR(DecSun1)=CalendarYear,MONTH(DecSun1)=12),DecSun1,""),IF(AND(YEAR(DecSun1+7)=CalendarYear,MONTH(DecSun1+7)=12),DecSun1+7,""))</f>
        <v>45997</v>
      </c>
      <c r="L651" s="16">
        <f>IF(DAY(DecSun1)=1,IF(AND(YEAR(DecSun1+1)=CalendarYear,MONTH(DecSun1+1)=12),DecSun1+1,""),IF(AND(YEAR(DecSun1+8)=CalendarYear,MONTH(DecSun1+8)=12),DecSun1+8,""))</f>
        <v>45998</v>
      </c>
      <c r="M651" s="16">
        <f>IF(DAY(DecSun1)=1,IF(AND(YEAR(DecSun1+2)=CalendarYear,MONTH(DecSun1+2)=12),DecSun1+2,""),IF(AND(YEAR(DecSun1+9)=CalendarYear,MONTH(DecSun1+9)=12),DecSun1+9,""))</f>
        <v>45999</v>
      </c>
      <c r="N651" s="16">
        <f>IF(DAY(DecSun1)=1,IF(AND(YEAR(DecSun1+3)=CalendarYear,MONTH(DecSun1+3)=12),DecSun1+3,""),IF(AND(YEAR(DecSun1+10)=CalendarYear,MONTH(DecSun1+10)=12),DecSun1+10,""))</f>
        <v>46000</v>
      </c>
      <c r="O651" s="16">
        <f>IF(DAY(DecSun1)=1,IF(AND(YEAR(DecSun1+4)=CalendarYear,MONTH(DecSun1+4)=12),DecSun1+4,""),IF(AND(YEAR(DecSun1+11)=CalendarYear,MONTH(DecSun1+11)=12),DecSun1+11,""))</f>
        <v>46001</v>
      </c>
      <c r="P651" s="16">
        <f>IF(DAY(DecSun1)=1,IF(AND(YEAR(DecSun1+5)=CalendarYear,MONTH(DecSun1+5)=12),DecSun1+5,""),IF(AND(YEAR(DecSun1+12)=CalendarYear,MONTH(DecSun1+12)=12),DecSun1+12,""))</f>
        <v>46002</v>
      </c>
      <c r="Q651" s="16">
        <f>IF(DAY(DecSun1)=1,IF(AND(YEAR(DecSun1+6)=CalendarYear,MONTH(DecSun1+6)=12),DecSun1+6,""),IF(AND(YEAR(DecSun1+13)=CalendarYear,MONTH(DecSun1+13)=12),DecSun1+13,""))</f>
        <v>46003</v>
      </c>
      <c r="R651" s="16">
        <f>IF(DAY(DecSun1)=1,IF(AND(YEAR(DecSun1+7)=CalendarYear,MONTH(DecSun1+7)=12),DecSun1+7,""),IF(AND(YEAR(DecSun1+14)=CalendarYear,MONTH(DecSun1+14)=12),DecSun1+14,""))</f>
        <v>46004</v>
      </c>
      <c r="S651" s="16">
        <f>IF(DAY(DecSun1)=1,IF(AND(YEAR(DecSun1+8)=CalendarYear,MONTH(DecSun1+8)=12),DecSun1+8,""),IF(AND(YEAR(DecSun1+15)=CalendarYear,MONTH(DecSun1+15)=12),DecSun1+15,""))</f>
        <v>46005</v>
      </c>
      <c r="T651" s="16">
        <f>IF(DAY(DecSun1)=1,IF(AND(YEAR(DecSun1+9)=CalendarYear,MONTH(DecSun1+9)=12),DecSun1+9,""),IF(AND(YEAR(DecSun1+16)=CalendarYear,MONTH(DecSun1+16)=12),DecSun1+16,""))</f>
        <v>46006</v>
      </c>
      <c r="U651" s="16">
        <f>IF(DAY(DecSun1)=1,IF(AND(YEAR(DecSun1+10)=CalendarYear,MONTH(DecSun1+10)=12),DecSun1+10,""),IF(AND(YEAR(DecSun1+17)=CalendarYear,MONTH(DecSun1+17)=12),DecSun1+17,""))</f>
        <v>46007</v>
      </c>
      <c r="V651" s="16">
        <f>IF(DAY(DecSun1)=1,IF(AND(YEAR(DecSun1+11)=CalendarYear,MONTH(DecSun1+11)=12),DecSun1+11,""),IF(AND(YEAR(DecSun1+18)=CalendarYear,MONTH(DecSun1+18)=12),DecSun1+18,""))</f>
        <v>46008</v>
      </c>
      <c r="W651" s="16">
        <f>IF(DAY(DecSun1)=1,IF(AND(YEAR(DecSun1+12)=CalendarYear,MONTH(DecSun1+12)=12),DecSun1+12,""),IF(AND(YEAR(DecSun1+19)=CalendarYear,MONTH(DecSun1+19)=12),DecSun1+19,""))</f>
        <v>46009</v>
      </c>
      <c r="X651" s="16">
        <f>IF(DAY(DecSun1)=1,IF(AND(YEAR(DecSun1+13)=CalendarYear,MONTH(DecSun1+13)=12),DecSun1+13,""),IF(AND(YEAR(DecSun1+20)=CalendarYear,MONTH(DecSun1+20)=12),DecSun1+20,""))</f>
        <v>46010</v>
      </c>
      <c r="Y651" s="16">
        <f>IF(DAY(DecSun1)=1,IF(AND(YEAR(DecSun1+14)=CalendarYear,MONTH(DecSun1+14)=12),DecSun1+14,""),IF(AND(YEAR(DecSun1+21)=CalendarYear,MONTH(DecSun1+21)=12),DecSun1+21,""))</f>
        <v>46011</v>
      </c>
      <c r="Z651" s="16">
        <f>IF(DAY(DecSun1)=1,IF(AND(YEAR(DecSun1+15)=CalendarYear,MONTH(DecSun1+15)=12),DecSun1+15,""),IF(AND(YEAR(DecSun1+22)=CalendarYear,MONTH(DecSun1+22)=12),DecSun1+22,""))</f>
        <v>46012</v>
      </c>
      <c r="AA651" s="16">
        <f>IF(DAY(DecSun1)=1,IF(AND(YEAR(DecSun1+16)=CalendarYear,MONTH(DecSun1+16)=12),DecSun1+16,""),IF(AND(YEAR(DecSun1+23)=CalendarYear,MONTH(DecSun1+23)=12),DecSun1+23,""))</f>
        <v>46013</v>
      </c>
      <c r="AB651" s="16">
        <f>IF(DAY(DecSun1)=1,IF(AND(YEAR(DecSun1+17)=CalendarYear,MONTH(DecSun1+17)=12),DecSun1+17,""),IF(AND(YEAR(DecSun1+24)=CalendarYear,MONTH(DecSun1+24)=12),DecSun1+24,""))</f>
        <v>46014</v>
      </c>
      <c r="AC651" s="16">
        <f>IF(DAY(DecSun1)=1,IF(AND(YEAR(DecSun1+18)=CalendarYear,MONTH(DecSun1+18)=12),DecSun1+18,""),IF(AND(YEAR(DecSun1+25)=CalendarYear,MONTH(DecSun1+25)=12),DecSun1+25,""))</f>
        <v>46015</v>
      </c>
      <c r="AD651" s="16">
        <f>IF(DAY(DecSun1)=1,IF(AND(YEAR(DecSun1+19)=CalendarYear,MONTH(DecSun1+19)=12),DecSun1+19,""),IF(AND(YEAR(DecSun1+26)=CalendarYear,MONTH(DecSun1+26)=12),DecSun1+26,""))</f>
        <v>46016</v>
      </c>
      <c r="AE651" s="16">
        <f>IF(DAY(DecSun1)=1,IF(AND(YEAR(DecSun1+20)=CalendarYear,MONTH(DecSun1+20)=12),DecSun1+20,""),IF(AND(YEAR(DecSun1+27)=CalendarYear,MONTH(DecSun1+27)=12),DecSun1+27,""))</f>
        <v>46017</v>
      </c>
      <c r="AF651" s="16">
        <f>IF(DAY(DecSun1)=1,IF(AND(YEAR(DecSun1+21)=CalendarYear,MONTH(DecSun1+21)=12),DecSun1+21,""),IF(AND(YEAR(DecSun1+28)=CalendarYear,MONTH(DecSun1+28)=12),DecSun1+28,""))</f>
        <v>46018</v>
      </c>
      <c r="AG651" s="16">
        <f>IF(DAY(DecSun1)=1,IF(AND(YEAR(DecSun1+22)=CalendarYear,MONTH(DecSun1+22)=12),DecSun1+22,""),IF(AND(YEAR(DecSun1+29)=CalendarYear,MONTH(DecSun1+29)=12),DecSun1+29,""))</f>
        <v>46019</v>
      </c>
      <c r="AH651" s="16">
        <f>IF(DAY(DecSun1)=1,IF(AND(YEAR(DecSun1+23)=CalendarYear,MONTH(DecSun1+23)=12),DecSun1+23,""),IF(AND(YEAR(DecSun1+30)=CalendarYear,MONTH(DecSun1+30)=12),DecSun1+30,""))</f>
        <v>46020</v>
      </c>
      <c r="AI651" s="16">
        <f>IF(DAY(DecSun1)=1,IF(AND(YEAR(DecSun1+24)=CalendarYear,MONTH(DecSun1+24)=12),DecSun1+24,""),IF(AND(YEAR(DecSun1+31)=CalendarYear,MONTH(DecSun1+31)=12),DecSun1+31,""))</f>
        <v>46021</v>
      </c>
      <c r="AJ651" s="16">
        <f>IF(DAY(DecSun1)=1,IF(AND(YEAR(DecSun1+25)=CalendarYear,MONTH(DecSun1+25)=12),DecSun1+25,""),IF(AND(YEAR(DecSun1+32)=CalendarYear,MONTH(DecSun1+32)=12),DecSun1+32,""))</f>
        <v>46022</v>
      </c>
      <c r="AK651" s="16" t="str">
        <f>IF(DAY(DecSun1)=1,IF(AND(YEAR(DecSun1+26)=CalendarYear,MONTH(DecSun1+26)=12),DecSun1+26,""),IF(AND(YEAR(DecSun1+33)=CalendarYear,MONTH(DecSun1+33)=12),DecSun1+33,""))</f>
        <v/>
      </c>
      <c r="AL651" s="16" t="str">
        <f>IF(DAY(DecSun1)=1,IF(AND(YEAR(DecSun1+27)=CalendarYear,MONTH(DecSun1+27)=12),DecSun1+27,""),IF(AND(YEAR(DecSun1+34)=CalendarYear,MONTH(DecSun1+34)=12),DecSun1+34,""))</f>
        <v/>
      </c>
      <c r="AM651" s="16" t="str">
        <f>IF(DAY(DecSun1)=1,IF(AND(YEAR(DecSun1+28)=CalendarYear,MONTH(DecSun1+28)=12),DecSun1+28,""),IF(AND(YEAR(DecSun1+35)=CalendarYear,MONTH(DecSun1+35)=12),DecSun1+35,""))</f>
        <v/>
      </c>
      <c r="AN651" s="16" t="str">
        <f>IF(DAY(DecSun1)=1,IF(AND(YEAR(DecSun1+29)=CalendarYear,MONTH(DecSun1+29)=12),DecSun1+29,""),IF(AND(YEAR(DecSun1+36)=CalendarYear,MONTH(DecSun1+36)=12),DecSun1+36,""))</f>
        <v/>
      </c>
      <c r="AO651" s="17" t="str">
        <f>IF(DAY(DecSun1)=1,IF(AND(YEAR(DecSun1+30)=CalendarYear,MONTH(DecSun1+30)=12),DecSun1+30,""),IF(AND(YEAR(DecSun1+37)=CalendarYear,MONTH(DecSun1+37)=12),DecSun1+37,""))</f>
        <v/>
      </c>
      <c r="AP651" s="29"/>
      <c r="AQ651" s="29"/>
      <c r="AR651" s="29"/>
    </row>
    <row r="652" spans="4:44" s="10" customFormat="1" ht="19" customHeight="1" thickBot="1" x14ac:dyDescent="0.45">
      <c r="D652" s="43"/>
      <c r="E652" s="18" t="s">
        <v>2</v>
      </c>
      <c r="F652" s="18" t="s">
        <v>3</v>
      </c>
      <c r="G652" s="18" t="s">
        <v>4</v>
      </c>
      <c r="H652" s="18" t="s">
        <v>5</v>
      </c>
      <c r="I652" s="18" t="s">
        <v>6</v>
      </c>
      <c r="J652" s="18" t="s">
        <v>7</v>
      </c>
      <c r="K652" s="18" t="s">
        <v>8</v>
      </c>
      <c r="L652" s="18" t="s">
        <v>2</v>
      </c>
      <c r="M652" s="18" t="s">
        <v>3</v>
      </c>
      <c r="N652" s="18" t="s">
        <v>4</v>
      </c>
      <c r="O652" s="18" t="s">
        <v>5</v>
      </c>
      <c r="P652" s="18" t="s">
        <v>6</v>
      </c>
      <c r="Q652" s="18" t="s">
        <v>7</v>
      </c>
      <c r="R652" s="18" t="s">
        <v>8</v>
      </c>
      <c r="S652" s="18" t="s">
        <v>2</v>
      </c>
      <c r="T652" s="18" t="s">
        <v>3</v>
      </c>
      <c r="U652" s="18" t="s">
        <v>4</v>
      </c>
      <c r="V652" s="18" t="s">
        <v>5</v>
      </c>
      <c r="W652" s="18" t="s">
        <v>6</v>
      </c>
      <c r="X652" s="18" t="s">
        <v>7</v>
      </c>
      <c r="Y652" s="18" t="s">
        <v>8</v>
      </c>
      <c r="Z652" s="18" t="s">
        <v>2</v>
      </c>
      <c r="AA652" s="18" t="s">
        <v>3</v>
      </c>
      <c r="AB652" s="18" t="s">
        <v>4</v>
      </c>
      <c r="AC652" s="18" t="s">
        <v>5</v>
      </c>
      <c r="AD652" s="18" t="s">
        <v>6</v>
      </c>
      <c r="AE652" s="18" t="s">
        <v>7</v>
      </c>
      <c r="AF652" s="18" t="s">
        <v>8</v>
      </c>
      <c r="AG652" s="18" t="s">
        <v>2</v>
      </c>
      <c r="AH652" s="18" t="s">
        <v>3</v>
      </c>
      <c r="AI652" s="18" t="s">
        <v>4</v>
      </c>
      <c r="AJ652" s="18" t="s">
        <v>5</v>
      </c>
      <c r="AK652" s="18" t="s">
        <v>6</v>
      </c>
      <c r="AL652" s="18" t="s">
        <v>7</v>
      </c>
      <c r="AM652" s="18" t="s">
        <v>8</v>
      </c>
      <c r="AN652" s="18" t="s">
        <v>2</v>
      </c>
      <c r="AO652" s="19" t="s">
        <v>3</v>
      </c>
      <c r="AP652" s="23"/>
      <c r="AQ652" s="23"/>
      <c r="AR652" s="23"/>
    </row>
    <row r="653" spans="4:44" ht="19" customHeight="1" thickBot="1" x14ac:dyDescent="0.45">
      <c r="D653" s="21" t="s">
        <v>10</v>
      </c>
      <c r="E653" s="20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31"/>
      <c r="AP653" s="39">
        <v>2</v>
      </c>
      <c r="AQ653" s="39"/>
      <c r="AR653" s="39"/>
    </row>
    <row r="654" spans="4:44" ht="19" customHeight="1" thickBot="1" x14ac:dyDescent="0.45">
      <c r="D654" s="22" t="s">
        <v>11</v>
      </c>
      <c r="E654" s="20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31"/>
      <c r="AP654" s="39">
        <v>32</v>
      </c>
      <c r="AQ654" s="39"/>
      <c r="AR654" s="39"/>
    </row>
    <row r="655" spans="4:44" ht="19" customHeight="1" thickBot="1" x14ac:dyDescent="0.45">
      <c r="D655" s="22" t="s">
        <v>12</v>
      </c>
      <c r="E655" s="20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31"/>
      <c r="AP655" s="39">
        <v>61</v>
      </c>
      <c r="AQ655" s="39"/>
      <c r="AR655" s="39"/>
    </row>
    <row r="656" spans="4:44" ht="19" customHeight="1" thickBot="1" x14ac:dyDescent="0.45">
      <c r="D656" s="22" t="s">
        <v>13</v>
      </c>
      <c r="E656" s="20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31"/>
      <c r="AP656" s="39">
        <v>7</v>
      </c>
      <c r="AQ656" s="39"/>
      <c r="AR656" s="39"/>
    </row>
    <row r="657" spans="4:44" ht="19" customHeight="1" thickBot="1" x14ac:dyDescent="0.45">
      <c r="D657" s="22" t="s">
        <v>14</v>
      </c>
      <c r="E657" s="20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31"/>
      <c r="AP657" s="39">
        <v>7</v>
      </c>
      <c r="AQ657" s="39"/>
      <c r="AR657" s="39"/>
    </row>
    <row r="658" spans="4:44" ht="19" customHeight="1" thickBot="1" x14ac:dyDescent="0.45">
      <c r="D658" s="22" t="s">
        <v>15</v>
      </c>
      <c r="E658" s="20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31"/>
      <c r="AP658" s="39">
        <v>10</v>
      </c>
      <c r="AQ658" s="39"/>
      <c r="AR658" s="39"/>
    </row>
    <row r="659" spans="4:44" ht="19" customHeight="1" thickBot="1" x14ac:dyDescent="0.45">
      <c r="D659" s="22" t="s">
        <v>16</v>
      </c>
      <c r="E659" s="20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31"/>
      <c r="AP659" s="39">
        <v>2</v>
      </c>
      <c r="AQ659" s="39"/>
      <c r="AR659" s="39"/>
    </row>
    <row r="660" spans="4:44" ht="19" customHeight="1" thickBot="1" x14ac:dyDescent="0.45">
      <c r="D660" s="22" t="s">
        <v>17</v>
      </c>
      <c r="E660" s="20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31"/>
      <c r="AP660" s="39">
        <v>4</v>
      </c>
      <c r="AQ660" s="39"/>
      <c r="AR660" s="39"/>
    </row>
    <row r="661" spans="4:44" ht="19" customHeight="1" thickBot="1" x14ac:dyDescent="0.45">
      <c r="D661" s="22" t="s">
        <v>18</v>
      </c>
      <c r="E661" s="20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31"/>
      <c r="AP661" s="39">
        <v>2</v>
      </c>
      <c r="AQ661" s="39"/>
      <c r="AR661" s="39"/>
    </row>
    <row r="662" spans="4:44" ht="19" customHeight="1" thickBot="1" x14ac:dyDescent="0.45">
      <c r="D662" s="22" t="s">
        <v>19</v>
      </c>
      <c r="E662" s="20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31"/>
      <c r="AP662" s="39">
        <v>6</v>
      </c>
      <c r="AQ662" s="39"/>
      <c r="AR662" s="39"/>
    </row>
    <row r="663" spans="4:44" ht="19" customHeight="1" thickBot="1" x14ac:dyDescent="0.45">
      <c r="D663" s="22" t="s">
        <v>20</v>
      </c>
      <c r="E663" s="20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31"/>
      <c r="AP663" s="39">
        <v>13</v>
      </c>
      <c r="AQ663" s="39"/>
      <c r="AR663" s="39"/>
    </row>
    <row r="664" spans="4:44" ht="19" customHeight="1" thickBot="1" x14ac:dyDescent="0.45">
      <c r="D664" s="22" t="s">
        <v>21</v>
      </c>
      <c r="E664" s="20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31"/>
      <c r="AP664" s="39">
        <v>1</v>
      </c>
      <c r="AQ664" s="39"/>
      <c r="AR664" s="39"/>
    </row>
    <row r="665" spans="4:44" ht="19" customHeight="1" thickBot="1" x14ac:dyDescent="0.45">
      <c r="D665" s="22" t="s">
        <v>22</v>
      </c>
      <c r="E665" s="20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31"/>
      <c r="AP665" s="39">
        <v>6</v>
      </c>
      <c r="AQ665" s="39"/>
      <c r="AR665" s="39"/>
    </row>
    <row r="666" spans="4:44" ht="19" customHeight="1" thickBot="1" x14ac:dyDescent="0.45"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26"/>
      <c r="AO666" s="26"/>
      <c r="AP666" s="26"/>
      <c r="AQ666" s="26"/>
      <c r="AR666" s="26"/>
    </row>
    <row r="667" spans="4:44" ht="19" customHeight="1" thickBot="1" x14ac:dyDescent="0.45">
      <c r="D667" s="21" t="s">
        <v>23</v>
      </c>
      <c r="E667" s="20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31"/>
      <c r="AP667" s="39" t="s">
        <v>24</v>
      </c>
      <c r="AQ667" s="39"/>
      <c r="AR667" s="39"/>
    </row>
    <row r="668" spans="4:44" ht="19" customHeight="1" thickBot="1" x14ac:dyDescent="0.45">
      <c r="D668" s="22" t="s">
        <v>25</v>
      </c>
      <c r="E668" s="20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31"/>
      <c r="AP668" s="39" t="s">
        <v>26</v>
      </c>
      <c r="AQ668" s="39"/>
      <c r="AR668" s="39"/>
    </row>
    <row r="669" spans="4:44" ht="19" customHeight="1" thickBot="1" x14ac:dyDescent="0.45">
      <c r="D669" s="22" t="s">
        <v>27</v>
      </c>
      <c r="E669" s="20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31"/>
      <c r="AP669" s="39" t="s">
        <v>28</v>
      </c>
      <c r="AQ669" s="39"/>
      <c r="AR669" s="39"/>
    </row>
    <row r="670" spans="4:44" ht="19" customHeight="1" thickBot="1" x14ac:dyDescent="0.45">
      <c r="D670" s="22" t="s">
        <v>29</v>
      </c>
      <c r="E670" s="20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31"/>
      <c r="AP670" s="39">
        <v>34</v>
      </c>
      <c r="AQ670" s="39"/>
      <c r="AR670" s="39"/>
    </row>
    <row r="671" spans="4:44" ht="19" customHeight="1" thickBot="1" x14ac:dyDescent="0.45">
      <c r="D671" s="22" t="s">
        <v>30</v>
      </c>
      <c r="E671" s="20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31"/>
      <c r="AP671" s="39">
        <v>13</v>
      </c>
      <c r="AQ671" s="39"/>
      <c r="AR671" s="39"/>
    </row>
    <row r="672" spans="4:44" ht="19" customHeight="1" thickBot="1" x14ac:dyDescent="0.45">
      <c r="D672" s="22" t="s">
        <v>31</v>
      </c>
      <c r="E672" s="20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31"/>
      <c r="AP672" s="39">
        <v>16</v>
      </c>
      <c r="AQ672" s="39"/>
      <c r="AR672" s="39"/>
    </row>
    <row r="673" spans="4:44" ht="19" customHeight="1" thickBot="1" x14ac:dyDescent="0.45">
      <c r="D673" s="22" t="s">
        <v>32</v>
      </c>
      <c r="E673" s="20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31"/>
      <c r="AP673" s="39">
        <v>15</v>
      </c>
      <c r="AQ673" s="39"/>
      <c r="AR673" s="39"/>
    </row>
    <row r="674" spans="4:44" ht="19" customHeight="1" thickBot="1" x14ac:dyDescent="0.45"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26"/>
      <c r="AO674" s="32"/>
      <c r="AP674" s="26"/>
      <c r="AQ674" s="26"/>
      <c r="AR674" s="26"/>
    </row>
    <row r="675" spans="4:44" ht="19" customHeight="1" thickBot="1" x14ac:dyDescent="0.45">
      <c r="D675" s="21" t="s">
        <v>33</v>
      </c>
      <c r="E675" s="20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31"/>
      <c r="AP675" s="39">
        <v>3</v>
      </c>
      <c r="AQ675" s="39"/>
      <c r="AR675" s="39"/>
    </row>
    <row r="676" spans="4:44" ht="19" customHeight="1" thickBot="1" x14ac:dyDescent="0.45">
      <c r="D676" s="22" t="s">
        <v>34</v>
      </c>
      <c r="E676" s="20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31"/>
      <c r="AP676" s="39">
        <v>7</v>
      </c>
      <c r="AQ676" s="39"/>
      <c r="AR676" s="39"/>
    </row>
    <row r="677" spans="4:44" ht="19" customHeight="1" thickBot="1" x14ac:dyDescent="0.45">
      <c r="D677" s="22" t="s">
        <v>35</v>
      </c>
      <c r="E677" s="20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31"/>
      <c r="AP677" s="39">
        <v>2</v>
      </c>
      <c r="AQ677" s="39"/>
      <c r="AR677" s="39"/>
    </row>
    <row r="678" spans="4:44" ht="19" customHeight="1" thickBot="1" x14ac:dyDescent="0.45">
      <c r="D678" s="22" t="s">
        <v>36</v>
      </c>
      <c r="E678" s="20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31"/>
      <c r="AP678" s="39">
        <v>4</v>
      </c>
      <c r="AQ678" s="39"/>
      <c r="AR678" s="39"/>
    </row>
    <row r="679" spans="4:44" ht="19" customHeight="1" thickBot="1" x14ac:dyDescent="0.45">
      <c r="D679" s="22" t="s">
        <v>37</v>
      </c>
      <c r="E679" s="20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31"/>
      <c r="AP679" s="39">
        <v>2</v>
      </c>
      <c r="AQ679" s="39"/>
      <c r="AR679" s="39"/>
    </row>
    <row r="680" spans="4:44" ht="19" customHeight="1" thickBot="1" x14ac:dyDescent="0.45">
      <c r="D680" s="22" t="s">
        <v>38</v>
      </c>
      <c r="E680" s="20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31"/>
      <c r="AP680" s="39">
        <v>8</v>
      </c>
      <c r="AQ680" s="39"/>
      <c r="AR680" s="39"/>
    </row>
    <row r="681" spans="4:44" ht="19" customHeight="1" thickBot="1" x14ac:dyDescent="0.45"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33"/>
      <c r="AP681" s="34"/>
      <c r="AQ681" s="34"/>
      <c r="AR681" s="34"/>
    </row>
    <row r="682" spans="4:44" ht="19" customHeight="1" thickBot="1" x14ac:dyDescent="0.45">
      <c r="D682" s="21" t="s">
        <v>39</v>
      </c>
      <c r="E682" s="20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31"/>
      <c r="AP682" s="39">
        <v>3</v>
      </c>
      <c r="AQ682" s="39"/>
      <c r="AR682" s="39"/>
    </row>
    <row r="683" spans="4:44" ht="19" customHeight="1" thickBot="1" x14ac:dyDescent="0.45">
      <c r="D683" s="22" t="s">
        <v>40</v>
      </c>
      <c r="E683" s="20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31"/>
      <c r="AP683" s="39">
        <v>3</v>
      </c>
      <c r="AQ683" s="39"/>
      <c r="AR683" s="39"/>
    </row>
    <row r="684" spans="4:44" ht="19" customHeight="1" thickBot="1" x14ac:dyDescent="0.45">
      <c r="D684" s="22" t="s">
        <v>41</v>
      </c>
      <c r="E684" s="20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31"/>
      <c r="AP684" s="39">
        <v>2</v>
      </c>
      <c r="AQ684" s="39"/>
      <c r="AR684" s="39"/>
    </row>
    <row r="685" spans="4:44" ht="19" customHeight="1" thickBot="1" x14ac:dyDescent="0.45">
      <c r="D685" s="22" t="s">
        <v>42</v>
      </c>
      <c r="E685" s="20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31"/>
      <c r="AP685" s="39">
        <v>2</v>
      </c>
      <c r="AQ685" s="39"/>
      <c r="AR685" s="39"/>
    </row>
    <row r="686" spans="4:44" ht="19" customHeight="1" thickBot="1" x14ac:dyDescent="0.45"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  <c r="AK686" s="26"/>
      <c r="AL686" s="26"/>
      <c r="AM686" s="26"/>
      <c r="AN686" s="26"/>
      <c r="AO686" s="32"/>
      <c r="AP686" s="26"/>
      <c r="AQ686" s="26"/>
      <c r="AR686" s="26"/>
    </row>
    <row r="687" spans="4:44" ht="19" customHeight="1" thickBot="1" x14ac:dyDescent="0.45">
      <c r="D687" s="21" t="s">
        <v>43</v>
      </c>
      <c r="E687" s="20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31"/>
      <c r="AP687" s="39">
        <v>2</v>
      </c>
      <c r="AQ687" s="39"/>
      <c r="AR687" s="39"/>
    </row>
    <row r="688" spans="4:44" ht="19" customHeight="1" thickBot="1" x14ac:dyDescent="0.45">
      <c r="D688" s="22" t="s">
        <v>44</v>
      </c>
      <c r="E688" s="20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31"/>
      <c r="AP688" s="39">
        <v>2</v>
      </c>
      <c r="AQ688" s="39"/>
      <c r="AR688" s="39"/>
    </row>
    <row r="689" spans="4:44" ht="19" customHeight="1" thickBot="1" x14ac:dyDescent="0.45">
      <c r="D689" s="22" t="s">
        <v>45</v>
      </c>
      <c r="E689" s="20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31"/>
      <c r="AP689" s="39">
        <v>1</v>
      </c>
      <c r="AQ689" s="39"/>
      <c r="AR689" s="39"/>
    </row>
    <row r="690" spans="4:44" ht="19" customHeight="1" thickBot="1" x14ac:dyDescent="0.45">
      <c r="D690" s="22" t="s">
        <v>46</v>
      </c>
      <c r="E690" s="20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31"/>
      <c r="AP690" s="39">
        <v>2</v>
      </c>
      <c r="AQ690" s="39"/>
      <c r="AR690" s="39"/>
    </row>
    <row r="691" spans="4:44" ht="19" customHeight="1" thickBot="1" x14ac:dyDescent="0.45">
      <c r="D691" s="22" t="s">
        <v>47</v>
      </c>
      <c r="E691" s="20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31"/>
      <c r="AP691" s="39">
        <v>2</v>
      </c>
      <c r="AQ691" s="39"/>
      <c r="AR691" s="39"/>
    </row>
    <row r="692" spans="4:44" ht="19" customHeight="1" thickBot="1" x14ac:dyDescent="0.45">
      <c r="D692" s="22" t="s">
        <v>48</v>
      </c>
      <c r="E692" s="20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31"/>
      <c r="AP692" s="39">
        <v>3</v>
      </c>
      <c r="AQ692" s="39"/>
      <c r="AR692" s="39"/>
    </row>
    <row r="693" spans="4:44" ht="19" customHeight="1" thickBot="1" x14ac:dyDescent="0.45">
      <c r="D693" s="22" t="s">
        <v>49</v>
      </c>
      <c r="E693" s="20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31"/>
      <c r="AP693" s="39">
        <v>2</v>
      </c>
      <c r="AQ693" s="39"/>
      <c r="AR693" s="39"/>
    </row>
    <row r="694" spans="4:44" ht="19" customHeight="1" thickBot="1" x14ac:dyDescent="0.45">
      <c r="D694" s="22" t="s">
        <v>50</v>
      </c>
      <c r="E694" s="20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31"/>
      <c r="AP694" s="39">
        <v>1</v>
      </c>
      <c r="AQ694" s="39"/>
      <c r="AR694" s="39"/>
    </row>
    <row r="695" spans="4:44" ht="19" customHeight="1" thickBot="1" x14ac:dyDescent="0.45">
      <c r="D695" s="22" t="s">
        <v>51</v>
      </c>
      <c r="E695" s="20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31"/>
      <c r="AP695" s="39">
        <v>1</v>
      </c>
      <c r="AQ695" s="39"/>
      <c r="AR695" s="39"/>
    </row>
    <row r="696" spans="4:44" ht="19" customHeight="1" thickBot="1" x14ac:dyDescent="0.45">
      <c r="D696" s="22" t="s">
        <v>52</v>
      </c>
      <c r="E696" s="20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31"/>
      <c r="AP696" s="39">
        <v>3</v>
      </c>
      <c r="AQ696" s="39"/>
      <c r="AR696" s="39"/>
    </row>
    <row r="697" spans="4:44" ht="19" customHeight="1" thickBot="1" x14ac:dyDescent="0.45">
      <c r="D697" s="22" t="s">
        <v>53</v>
      </c>
      <c r="E697" s="20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31"/>
      <c r="AP697" s="39">
        <v>2</v>
      </c>
      <c r="AQ697" s="39"/>
      <c r="AR697" s="39"/>
    </row>
    <row r="698" spans="4:44" ht="19" customHeight="1" thickBot="1" x14ac:dyDescent="0.45">
      <c r="D698" s="22" t="s">
        <v>54</v>
      </c>
      <c r="E698" s="20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31"/>
      <c r="AP698" s="39">
        <v>1</v>
      </c>
      <c r="AQ698" s="39"/>
      <c r="AR698" s="39"/>
    </row>
    <row r="699" spans="4:44" ht="19" customHeight="1" thickBot="1" x14ac:dyDescent="0.45">
      <c r="D699" s="22" t="s">
        <v>55</v>
      </c>
      <c r="E699" s="20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31"/>
      <c r="AP699" s="39">
        <v>1</v>
      </c>
      <c r="AQ699" s="39"/>
      <c r="AR699" s="39"/>
    </row>
    <row r="700" spans="4:44" ht="19" customHeight="1" thickBot="1" x14ac:dyDescent="0.45">
      <c r="D700" s="22" t="s">
        <v>56</v>
      </c>
      <c r="E700" s="20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31"/>
      <c r="AP700" s="39">
        <v>2</v>
      </c>
      <c r="AQ700" s="39"/>
      <c r="AR700" s="39"/>
    </row>
    <row r="701" spans="4:44" ht="19" customHeight="1" thickBot="1" x14ac:dyDescent="0.45">
      <c r="D701" s="22" t="s">
        <v>57</v>
      </c>
      <c r="E701" s="20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31"/>
      <c r="AP701" s="39">
        <v>2</v>
      </c>
      <c r="AQ701" s="39"/>
      <c r="AR701" s="39"/>
    </row>
  </sheetData>
  <mergeCells count="555">
    <mergeCell ref="D5:D6"/>
    <mergeCell ref="D58:D59"/>
    <mergeCell ref="D113:D114"/>
    <mergeCell ref="D169:D170"/>
    <mergeCell ref="AJ1:AO1"/>
    <mergeCell ref="AE1:AI1"/>
    <mergeCell ref="D531:D532"/>
    <mergeCell ref="D591:D592"/>
    <mergeCell ref="D651:D652"/>
    <mergeCell ref="D229:D230"/>
    <mergeCell ref="D289:D290"/>
    <mergeCell ref="D349:D350"/>
    <mergeCell ref="D409:D410"/>
    <mergeCell ref="D469:D470"/>
    <mergeCell ref="AP26:AR26"/>
    <mergeCell ref="AP27:AR27"/>
    <mergeCell ref="AP28:AR28"/>
    <mergeCell ref="AP30:AR30"/>
    <mergeCell ref="AP22:AR22"/>
    <mergeCell ref="AP23:AR23"/>
    <mergeCell ref="AP24:AR24"/>
    <mergeCell ref="AP25:AR25"/>
    <mergeCell ref="AP5:AR6"/>
    <mergeCell ref="AP8:AR8"/>
    <mergeCell ref="AP9:AR9"/>
    <mergeCell ref="AP10:AR10"/>
    <mergeCell ref="AP11:AR11"/>
    <mergeCell ref="AP12:AR12"/>
    <mergeCell ref="AP13:AR13"/>
    <mergeCell ref="AP14:AR14"/>
    <mergeCell ref="AP15:AR15"/>
    <mergeCell ref="AP16:AR16"/>
    <mergeCell ref="AP17:AR17"/>
    <mergeCell ref="AP18:AR18"/>
    <mergeCell ref="AP19:AR19"/>
    <mergeCell ref="AP20:AR20"/>
    <mergeCell ref="AP37:AR37"/>
    <mergeCell ref="AP38:AR38"/>
    <mergeCell ref="AP39:AR39"/>
    <mergeCell ref="AP40:AR40"/>
    <mergeCell ref="AP31:AR31"/>
    <mergeCell ref="AP32:AR32"/>
    <mergeCell ref="AP33:AR33"/>
    <mergeCell ref="AP34:AR34"/>
    <mergeCell ref="AP35:AR35"/>
    <mergeCell ref="AP46:AR46"/>
    <mergeCell ref="AP47:AR47"/>
    <mergeCell ref="AP48:AR48"/>
    <mergeCell ref="AP49:AR49"/>
    <mergeCell ref="AP50:AR50"/>
    <mergeCell ref="AP42:AR42"/>
    <mergeCell ref="AP43:AR43"/>
    <mergeCell ref="AP44:AR44"/>
    <mergeCell ref="AP45:AR45"/>
    <mergeCell ref="AP79:AR79"/>
    <mergeCell ref="AP72:AR72"/>
    <mergeCell ref="AP56:AR56"/>
    <mergeCell ref="AP51:AR51"/>
    <mergeCell ref="AP52:AR52"/>
    <mergeCell ref="AP53:AR53"/>
    <mergeCell ref="AP54:AR54"/>
    <mergeCell ref="AP55:AR55"/>
    <mergeCell ref="AP69:AR69"/>
    <mergeCell ref="AP70:AR70"/>
    <mergeCell ref="AP71:AR71"/>
    <mergeCell ref="AP74:AR74"/>
    <mergeCell ref="AP75:AR75"/>
    <mergeCell ref="AP76:AR76"/>
    <mergeCell ref="AP77:AR77"/>
    <mergeCell ref="AP78:AR78"/>
    <mergeCell ref="AP86:AR86"/>
    <mergeCell ref="AP87:AR87"/>
    <mergeCell ref="AP89:AR89"/>
    <mergeCell ref="AP90:AR90"/>
    <mergeCell ref="AP91:AR91"/>
    <mergeCell ref="AP80:AR80"/>
    <mergeCell ref="AP82:AR82"/>
    <mergeCell ref="AP83:AR83"/>
    <mergeCell ref="AP84:AR84"/>
    <mergeCell ref="AP85:AR85"/>
    <mergeCell ref="AP98:AR98"/>
    <mergeCell ref="AP99:AR99"/>
    <mergeCell ref="AP100:AR100"/>
    <mergeCell ref="AP101:AR101"/>
    <mergeCell ref="AP102:AR102"/>
    <mergeCell ref="AP92:AR92"/>
    <mergeCell ref="AP94:AR94"/>
    <mergeCell ref="AP95:AR95"/>
    <mergeCell ref="AP96:AR96"/>
    <mergeCell ref="AP97:AR97"/>
    <mergeCell ref="AP108:AR108"/>
    <mergeCell ref="AP115:AR115"/>
    <mergeCell ref="AP116:AR116"/>
    <mergeCell ref="AP117:AR117"/>
    <mergeCell ref="AP103:AR103"/>
    <mergeCell ref="AP104:AR104"/>
    <mergeCell ref="AP105:AR105"/>
    <mergeCell ref="AP106:AR106"/>
    <mergeCell ref="AP107:AR107"/>
    <mergeCell ref="AP123:AR123"/>
    <mergeCell ref="AP124:AR124"/>
    <mergeCell ref="AP125:AR125"/>
    <mergeCell ref="AP126:AR126"/>
    <mergeCell ref="AP127:AR127"/>
    <mergeCell ref="AP118:AR118"/>
    <mergeCell ref="AP119:AR119"/>
    <mergeCell ref="AP120:AR120"/>
    <mergeCell ref="AP121:AR121"/>
    <mergeCell ref="AP122:AR122"/>
    <mergeCell ref="AP134:AR134"/>
    <mergeCell ref="AP135:AR135"/>
    <mergeCell ref="AP137:AR137"/>
    <mergeCell ref="AP138:AR138"/>
    <mergeCell ref="AP139:AR139"/>
    <mergeCell ref="AP129:AR129"/>
    <mergeCell ref="AP130:AR130"/>
    <mergeCell ref="AP131:AR131"/>
    <mergeCell ref="AP132:AR132"/>
    <mergeCell ref="AP133:AR133"/>
    <mergeCell ref="AP177:AR177"/>
    <mergeCell ref="AP206:AR206"/>
    <mergeCell ref="AP195:AR195"/>
    <mergeCell ref="AP196:AR196"/>
    <mergeCell ref="AP197:AR197"/>
    <mergeCell ref="AP198:AR198"/>
    <mergeCell ref="AP189:AR189"/>
    <mergeCell ref="AP190:AR190"/>
    <mergeCell ref="AP191:AR191"/>
    <mergeCell ref="AP193:AR193"/>
    <mergeCell ref="AP194:AR194"/>
    <mergeCell ref="AP200:AR200"/>
    <mergeCell ref="AP201:AR201"/>
    <mergeCell ref="AP202:AR202"/>
    <mergeCell ref="AP203:AR203"/>
    <mergeCell ref="AP205:AR205"/>
    <mergeCell ref="AP185:AR185"/>
    <mergeCell ref="AP186:AR186"/>
    <mergeCell ref="AP187:AR187"/>
    <mergeCell ref="AP188:AR188"/>
    <mergeCell ref="AP178:AR178"/>
    <mergeCell ref="AP179:AR179"/>
    <mergeCell ref="AP180:AR180"/>
    <mergeCell ref="AP181:AR181"/>
    <mergeCell ref="AP173:AR173"/>
    <mergeCell ref="AP174:AR174"/>
    <mergeCell ref="AP175:AR175"/>
    <mergeCell ref="AP176:AR176"/>
    <mergeCell ref="AP162:AR162"/>
    <mergeCell ref="AP163:AR163"/>
    <mergeCell ref="AP171:AR171"/>
    <mergeCell ref="AP172:AR172"/>
    <mergeCell ref="AP157:AR157"/>
    <mergeCell ref="AP158:AR158"/>
    <mergeCell ref="AP159:AR159"/>
    <mergeCell ref="AP160:AR160"/>
    <mergeCell ref="AP161:AR161"/>
    <mergeCell ref="AP152:AR152"/>
    <mergeCell ref="AP153:AR153"/>
    <mergeCell ref="AP154:AR154"/>
    <mergeCell ref="AP155:AR155"/>
    <mergeCell ref="AP156:AR156"/>
    <mergeCell ref="AP146:AR146"/>
    <mergeCell ref="AP60:AR60"/>
    <mergeCell ref="AP61:AR61"/>
    <mergeCell ref="AP62:AR62"/>
    <mergeCell ref="AP63:AR63"/>
    <mergeCell ref="AP64:AR64"/>
    <mergeCell ref="AP65:AR65"/>
    <mergeCell ref="AP66:AR66"/>
    <mergeCell ref="AP67:AR67"/>
    <mergeCell ref="AP68:AR68"/>
    <mergeCell ref="AP147:AR147"/>
    <mergeCell ref="AP149:AR149"/>
    <mergeCell ref="AP150:AR150"/>
    <mergeCell ref="AP151:AR151"/>
    <mergeCell ref="AP140:AR140"/>
    <mergeCell ref="AP141:AR141"/>
    <mergeCell ref="AP142:AR142"/>
    <mergeCell ref="AP144:AR144"/>
    <mergeCell ref="AP145:AR145"/>
    <mergeCell ref="AP182:AR182"/>
    <mergeCell ref="AP183:AR183"/>
    <mergeCell ref="AP233:AR233"/>
    <mergeCell ref="AP234:AR234"/>
    <mergeCell ref="AP235:AR235"/>
    <mergeCell ref="AP236:AR236"/>
    <mergeCell ref="AP237:AR237"/>
    <mergeCell ref="AP217:AR217"/>
    <mergeCell ref="AP218:AR218"/>
    <mergeCell ref="AP219:AR219"/>
    <mergeCell ref="AP231:AR231"/>
    <mergeCell ref="AP232:AR232"/>
    <mergeCell ref="AP212:AR212"/>
    <mergeCell ref="AP213:AR213"/>
    <mergeCell ref="AP214:AR214"/>
    <mergeCell ref="AP215:AR215"/>
    <mergeCell ref="AP216:AR216"/>
    <mergeCell ref="AP207:AR207"/>
    <mergeCell ref="AP208:AR208"/>
    <mergeCell ref="AP209:AR209"/>
    <mergeCell ref="AP210:AR210"/>
    <mergeCell ref="AP211:AR211"/>
    <mergeCell ref="AP243:AR243"/>
    <mergeCell ref="AP245:AR245"/>
    <mergeCell ref="AP246:AR246"/>
    <mergeCell ref="AP247:AR247"/>
    <mergeCell ref="AP248:AR248"/>
    <mergeCell ref="AP238:AR238"/>
    <mergeCell ref="AP239:AR239"/>
    <mergeCell ref="AP240:AR240"/>
    <mergeCell ref="AP241:AR241"/>
    <mergeCell ref="AP242:AR242"/>
    <mergeCell ref="AP255:AR255"/>
    <mergeCell ref="AP256:AR256"/>
    <mergeCell ref="AP257:AR257"/>
    <mergeCell ref="AP258:AR258"/>
    <mergeCell ref="AP260:AR260"/>
    <mergeCell ref="AP249:AR249"/>
    <mergeCell ref="AP250:AR250"/>
    <mergeCell ref="AP251:AR251"/>
    <mergeCell ref="AP253:AR253"/>
    <mergeCell ref="AP254:AR254"/>
    <mergeCell ref="AP267:AR267"/>
    <mergeCell ref="AP268:AR268"/>
    <mergeCell ref="AP269:AR269"/>
    <mergeCell ref="AP270:AR270"/>
    <mergeCell ref="AP271:AR271"/>
    <mergeCell ref="AP261:AR261"/>
    <mergeCell ref="AP262:AR262"/>
    <mergeCell ref="AP263:AR263"/>
    <mergeCell ref="AP265:AR265"/>
    <mergeCell ref="AP266:AR266"/>
    <mergeCell ref="AP277:AR277"/>
    <mergeCell ref="AP278:AR278"/>
    <mergeCell ref="AP279:AR279"/>
    <mergeCell ref="AP291:AR291"/>
    <mergeCell ref="AP292:AR292"/>
    <mergeCell ref="AP272:AR272"/>
    <mergeCell ref="AP273:AR273"/>
    <mergeCell ref="AP274:AR274"/>
    <mergeCell ref="AP275:AR275"/>
    <mergeCell ref="AP276:AR276"/>
    <mergeCell ref="AP298:AR298"/>
    <mergeCell ref="AP299:AR299"/>
    <mergeCell ref="AP300:AR300"/>
    <mergeCell ref="AP301:AR301"/>
    <mergeCell ref="AP302:AR302"/>
    <mergeCell ref="AP293:AR293"/>
    <mergeCell ref="AP294:AR294"/>
    <mergeCell ref="AP295:AR295"/>
    <mergeCell ref="AP296:AR296"/>
    <mergeCell ref="AP297:AR297"/>
    <mergeCell ref="AP309:AR309"/>
    <mergeCell ref="AP310:AR310"/>
    <mergeCell ref="AP311:AR311"/>
    <mergeCell ref="AP313:AR313"/>
    <mergeCell ref="AP314:AR314"/>
    <mergeCell ref="AP303:AR303"/>
    <mergeCell ref="AP305:AR305"/>
    <mergeCell ref="AP306:AR306"/>
    <mergeCell ref="AP307:AR307"/>
    <mergeCell ref="AP308:AR308"/>
    <mergeCell ref="AP321:AR321"/>
    <mergeCell ref="AP322:AR322"/>
    <mergeCell ref="AP323:AR323"/>
    <mergeCell ref="AP325:AR325"/>
    <mergeCell ref="AP326:AR326"/>
    <mergeCell ref="AP315:AR315"/>
    <mergeCell ref="AP316:AR316"/>
    <mergeCell ref="AP317:AR317"/>
    <mergeCell ref="AP318:AR318"/>
    <mergeCell ref="AP320:AR320"/>
    <mergeCell ref="AP332:AR332"/>
    <mergeCell ref="AP333:AR333"/>
    <mergeCell ref="AP334:AR334"/>
    <mergeCell ref="AP335:AR335"/>
    <mergeCell ref="AP336:AR336"/>
    <mergeCell ref="AP327:AR327"/>
    <mergeCell ref="AP328:AR328"/>
    <mergeCell ref="AP329:AR329"/>
    <mergeCell ref="AP330:AR330"/>
    <mergeCell ref="AP331:AR331"/>
    <mergeCell ref="AP353:AR353"/>
    <mergeCell ref="AP354:AR354"/>
    <mergeCell ref="AP355:AR355"/>
    <mergeCell ref="AP356:AR356"/>
    <mergeCell ref="AP357:AR357"/>
    <mergeCell ref="AP337:AR337"/>
    <mergeCell ref="AP338:AR338"/>
    <mergeCell ref="AP339:AR339"/>
    <mergeCell ref="AP351:AR351"/>
    <mergeCell ref="AP352:AR352"/>
    <mergeCell ref="AP363:AR363"/>
    <mergeCell ref="AP365:AR365"/>
    <mergeCell ref="AP366:AR366"/>
    <mergeCell ref="AP367:AR367"/>
    <mergeCell ref="AP368:AR368"/>
    <mergeCell ref="AP358:AR358"/>
    <mergeCell ref="AP359:AR359"/>
    <mergeCell ref="AP360:AR360"/>
    <mergeCell ref="AP361:AR361"/>
    <mergeCell ref="AP362:AR362"/>
    <mergeCell ref="AP375:AR375"/>
    <mergeCell ref="AP376:AR376"/>
    <mergeCell ref="AP377:AR377"/>
    <mergeCell ref="AP378:AR378"/>
    <mergeCell ref="AP380:AR380"/>
    <mergeCell ref="AP369:AR369"/>
    <mergeCell ref="AP370:AR370"/>
    <mergeCell ref="AP371:AR371"/>
    <mergeCell ref="AP373:AR373"/>
    <mergeCell ref="AP374:AR374"/>
    <mergeCell ref="AP387:AR387"/>
    <mergeCell ref="AP388:AR388"/>
    <mergeCell ref="AP389:AR389"/>
    <mergeCell ref="AP390:AR390"/>
    <mergeCell ref="AP391:AR391"/>
    <mergeCell ref="AP381:AR381"/>
    <mergeCell ref="AP382:AR382"/>
    <mergeCell ref="AP383:AR383"/>
    <mergeCell ref="AP385:AR385"/>
    <mergeCell ref="AP386:AR386"/>
    <mergeCell ref="AP397:AR397"/>
    <mergeCell ref="AP398:AR398"/>
    <mergeCell ref="AP399:AR399"/>
    <mergeCell ref="AP411:AR411"/>
    <mergeCell ref="AP412:AR412"/>
    <mergeCell ref="AP392:AR392"/>
    <mergeCell ref="AP393:AR393"/>
    <mergeCell ref="AP394:AR394"/>
    <mergeCell ref="AP395:AR395"/>
    <mergeCell ref="AP396:AR396"/>
    <mergeCell ref="AP418:AR418"/>
    <mergeCell ref="AP419:AR419"/>
    <mergeCell ref="AP420:AR420"/>
    <mergeCell ref="AP421:AR421"/>
    <mergeCell ref="AP422:AR422"/>
    <mergeCell ref="AP413:AR413"/>
    <mergeCell ref="AP414:AR414"/>
    <mergeCell ref="AP415:AR415"/>
    <mergeCell ref="AP416:AR416"/>
    <mergeCell ref="AP417:AR417"/>
    <mergeCell ref="AP429:AR429"/>
    <mergeCell ref="AP430:AR430"/>
    <mergeCell ref="AP431:AR431"/>
    <mergeCell ref="AP433:AR433"/>
    <mergeCell ref="AP434:AR434"/>
    <mergeCell ref="AP423:AR423"/>
    <mergeCell ref="AP425:AR425"/>
    <mergeCell ref="AP426:AR426"/>
    <mergeCell ref="AP427:AR427"/>
    <mergeCell ref="AP428:AR428"/>
    <mergeCell ref="AP441:AR441"/>
    <mergeCell ref="AP442:AR442"/>
    <mergeCell ref="AP443:AR443"/>
    <mergeCell ref="AP445:AR445"/>
    <mergeCell ref="AP446:AR446"/>
    <mergeCell ref="AP435:AR435"/>
    <mergeCell ref="AP436:AR436"/>
    <mergeCell ref="AP437:AR437"/>
    <mergeCell ref="AP438:AR438"/>
    <mergeCell ref="AP440:AR440"/>
    <mergeCell ref="AP452:AR452"/>
    <mergeCell ref="AP453:AR453"/>
    <mergeCell ref="AP454:AR454"/>
    <mergeCell ref="AP455:AR455"/>
    <mergeCell ref="AP456:AR456"/>
    <mergeCell ref="AP447:AR447"/>
    <mergeCell ref="AP448:AR448"/>
    <mergeCell ref="AP449:AR449"/>
    <mergeCell ref="AP450:AR450"/>
    <mergeCell ref="AP451:AR451"/>
    <mergeCell ref="AP473:AR473"/>
    <mergeCell ref="AP474:AR474"/>
    <mergeCell ref="AP475:AR475"/>
    <mergeCell ref="AP476:AR476"/>
    <mergeCell ref="AP477:AR477"/>
    <mergeCell ref="AP457:AR457"/>
    <mergeCell ref="AP458:AR458"/>
    <mergeCell ref="AP459:AR459"/>
    <mergeCell ref="AP471:AR471"/>
    <mergeCell ref="AP472:AR472"/>
    <mergeCell ref="AP483:AR483"/>
    <mergeCell ref="AP485:AR485"/>
    <mergeCell ref="AP486:AR486"/>
    <mergeCell ref="AP487:AR487"/>
    <mergeCell ref="AP488:AR488"/>
    <mergeCell ref="AP478:AR478"/>
    <mergeCell ref="AP479:AR479"/>
    <mergeCell ref="AP480:AR480"/>
    <mergeCell ref="AP481:AR481"/>
    <mergeCell ref="AP482:AR482"/>
    <mergeCell ref="AP495:AR495"/>
    <mergeCell ref="AP496:AR496"/>
    <mergeCell ref="AP497:AR497"/>
    <mergeCell ref="AP498:AR498"/>
    <mergeCell ref="AP500:AR500"/>
    <mergeCell ref="AP489:AR489"/>
    <mergeCell ref="AP490:AR490"/>
    <mergeCell ref="AP491:AR491"/>
    <mergeCell ref="AP493:AR493"/>
    <mergeCell ref="AP494:AR494"/>
    <mergeCell ref="AP507:AR507"/>
    <mergeCell ref="AP508:AR508"/>
    <mergeCell ref="AP509:AR509"/>
    <mergeCell ref="AP510:AR510"/>
    <mergeCell ref="AP511:AR511"/>
    <mergeCell ref="AP501:AR501"/>
    <mergeCell ref="AP502:AR502"/>
    <mergeCell ref="AP503:AR503"/>
    <mergeCell ref="AP505:AR505"/>
    <mergeCell ref="AP506:AR506"/>
    <mergeCell ref="AP517:AR517"/>
    <mergeCell ref="AP518:AR518"/>
    <mergeCell ref="AP519:AR519"/>
    <mergeCell ref="AP533:AR533"/>
    <mergeCell ref="AP534:AR534"/>
    <mergeCell ref="AP512:AR512"/>
    <mergeCell ref="AP513:AR513"/>
    <mergeCell ref="AP514:AR514"/>
    <mergeCell ref="AP515:AR515"/>
    <mergeCell ref="AP516:AR516"/>
    <mergeCell ref="AP540:AR540"/>
    <mergeCell ref="AP541:AR541"/>
    <mergeCell ref="AP542:AR542"/>
    <mergeCell ref="AP543:AR543"/>
    <mergeCell ref="AP544:AR544"/>
    <mergeCell ref="AP535:AR535"/>
    <mergeCell ref="AP536:AR536"/>
    <mergeCell ref="AP537:AR537"/>
    <mergeCell ref="AP538:AR538"/>
    <mergeCell ref="AP539:AR539"/>
    <mergeCell ref="AP551:AR551"/>
    <mergeCell ref="AP552:AR552"/>
    <mergeCell ref="AP553:AR553"/>
    <mergeCell ref="AP555:AR555"/>
    <mergeCell ref="AP556:AR556"/>
    <mergeCell ref="AP545:AR545"/>
    <mergeCell ref="AP547:AR547"/>
    <mergeCell ref="AP548:AR548"/>
    <mergeCell ref="AP549:AR549"/>
    <mergeCell ref="AP550:AR550"/>
    <mergeCell ref="AP563:AR563"/>
    <mergeCell ref="AP564:AR564"/>
    <mergeCell ref="AP565:AR565"/>
    <mergeCell ref="AP567:AR567"/>
    <mergeCell ref="AP568:AR568"/>
    <mergeCell ref="AP557:AR557"/>
    <mergeCell ref="AP558:AR558"/>
    <mergeCell ref="AP559:AR559"/>
    <mergeCell ref="AP560:AR560"/>
    <mergeCell ref="AP562:AR562"/>
    <mergeCell ref="AP574:AR574"/>
    <mergeCell ref="AP575:AR575"/>
    <mergeCell ref="AP576:AR576"/>
    <mergeCell ref="AP577:AR577"/>
    <mergeCell ref="AP578:AR578"/>
    <mergeCell ref="AP569:AR569"/>
    <mergeCell ref="AP570:AR570"/>
    <mergeCell ref="AP571:AR571"/>
    <mergeCell ref="AP572:AR572"/>
    <mergeCell ref="AP573:AR573"/>
    <mergeCell ref="AP595:AR595"/>
    <mergeCell ref="AP596:AR596"/>
    <mergeCell ref="AP597:AR597"/>
    <mergeCell ref="AP598:AR598"/>
    <mergeCell ref="AP599:AR599"/>
    <mergeCell ref="AP579:AR579"/>
    <mergeCell ref="AP580:AR580"/>
    <mergeCell ref="AP581:AR581"/>
    <mergeCell ref="AP593:AR593"/>
    <mergeCell ref="AP594:AR594"/>
    <mergeCell ref="AP605:AR605"/>
    <mergeCell ref="AP607:AR607"/>
    <mergeCell ref="AP608:AR608"/>
    <mergeCell ref="AP609:AR609"/>
    <mergeCell ref="AP610:AR610"/>
    <mergeCell ref="AP600:AR600"/>
    <mergeCell ref="AP601:AR601"/>
    <mergeCell ref="AP602:AR602"/>
    <mergeCell ref="AP603:AR603"/>
    <mergeCell ref="AP604:AR604"/>
    <mergeCell ref="AP617:AR617"/>
    <mergeCell ref="AP618:AR618"/>
    <mergeCell ref="AP619:AR619"/>
    <mergeCell ref="AP620:AR620"/>
    <mergeCell ref="AP622:AR622"/>
    <mergeCell ref="AP611:AR611"/>
    <mergeCell ref="AP612:AR612"/>
    <mergeCell ref="AP613:AR613"/>
    <mergeCell ref="AP615:AR615"/>
    <mergeCell ref="AP616:AR616"/>
    <mergeCell ref="AP629:AR629"/>
    <mergeCell ref="AP630:AR630"/>
    <mergeCell ref="AP631:AR631"/>
    <mergeCell ref="AP632:AR632"/>
    <mergeCell ref="AP633:AR633"/>
    <mergeCell ref="AP623:AR623"/>
    <mergeCell ref="AP624:AR624"/>
    <mergeCell ref="AP625:AR625"/>
    <mergeCell ref="AP627:AR627"/>
    <mergeCell ref="AP628:AR628"/>
    <mergeCell ref="AP639:AR639"/>
    <mergeCell ref="AP640:AR640"/>
    <mergeCell ref="AP641:AR641"/>
    <mergeCell ref="AP653:AR653"/>
    <mergeCell ref="AP654:AR654"/>
    <mergeCell ref="AP634:AR634"/>
    <mergeCell ref="AP635:AR635"/>
    <mergeCell ref="AP636:AR636"/>
    <mergeCell ref="AP637:AR637"/>
    <mergeCell ref="AP638:AR638"/>
    <mergeCell ref="AP660:AR660"/>
    <mergeCell ref="AP661:AR661"/>
    <mergeCell ref="AP662:AR662"/>
    <mergeCell ref="AP663:AR663"/>
    <mergeCell ref="AP664:AR664"/>
    <mergeCell ref="AP655:AR655"/>
    <mergeCell ref="AP656:AR656"/>
    <mergeCell ref="AP657:AR657"/>
    <mergeCell ref="AP658:AR658"/>
    <mergeCell ref="AP659:AR659"/>
    <mergeCell ref="AP671:AR671"/>
    <mergeCell ref="AP672:AR672"/>
    <mergeCell ref="AP673:AR673"/>
    <mergeCell ref="AP675:AR675"/>
    <mergeCell ref="AP676:AR676"/>
    <mergeCell ref="AP665:AR665"/>
    <mergeCell ref="AP667:AR667"/>
    <mergeCell ref="AP668:AR668"/>
    <mergeCell ref="AP669:AR669"/>
    <mergeCell ref="AP670:AR670"/>
    <mergeCell ref="AP683:AR683"/>
    <mergeCell ref="AP684:AR684"/>
    <mergeCell ref="AP685:AR685"/>
    <mergeCell ref="AP687:AR687"/>
    <mergeCell ref="AP688:AR688"/>
    <mergeCell ref="AP677:AR677"/>
    <mergeCell ref="AP678:AR678"/>
    <mergeCell ref="AP679:AR679"/>
    <mergeCell ref="AP680:AR680"/>
    <mergeCell ref="AP682:AR682"/>
    <mergeCell ref="AP699:AR699"/>
    <mergeCell ref="AP700:AR700"/>
    <mergeCell ref="AP701:AR701"/>
    <mergeCell ref="AP694:AR694"/>
    <mergeCell ref="AP695:AR695"/>
    <mergeCell ref="AP696:AR696"/>
    <mergeCell ref="AP697:AR697"/>
    <mergeCell ref="AP698:AR698"/>
    <mergeCell ref="AP689:AR689"/>
    <mergeCell ref="AP690:AR690"/>
    <mergeCell ref="AP691:AR691"/>
    <mergeCell ref="AP692:AR692"/>
    <mergeCell ref="AP693:AR693"/>
  </mergeCells>
  <phoneticPr fontId="17" type="noConversion"/>
  <conditionalFormatting sqref="E6:AO6 E7:AR7">
    <cfRule type="expression" dxfId="55" priority="29" stopIfTrue="1">
      <formula>NOT(ISNUMBER(E5))</formula>
    </cfRule>
    <cfRule type="expression" dxfId="54" priority="30">
      <formula>OR(COUNTIF(E8:E56,1)&gt;1,COUNTIF(E8:E56,2)&gt;1,COUNTIF(E8:E56,3)&gt;1)</formula>
    </cfRule>
  </conditionalFormatting>
  <conditionalFormatting sqref="E8:AO20 E22:AO28 E30:AO35 E37:AO40 E42:AO56 E60:AO72 E74:AO80 E82:AO87 E89:AO92 E94:AO108 E109:AR111 E115:AO127 E129:AO135 E137:AO142 E144:AO147 E149:AO163 E164:AR167 E171:AO183 E185:AO191 E193:AO198 E200:AO203 E205:AO219 E220:AR227 E231:AO243 E245:AO251 E253:AO258 E260:AO263 E265:AO279 E280:AR287 E291:AO303 E305:AO311 E313:AO318 E320:AO323 E325:AO339 E340:AR347 E351:AO363 E365:AO371 E373:AO378 E380:AO383 E385:AO399 E400:AR407 E411:AO423 E425:AO431 E433:AO438 E440:AO443 E445:AO459 E460:AR467 E471:AO483 E485:AO491 E493:AO498 E500:AO503 E505:AO519 E520:AR529 E533:AO545 E547:AO553 E555:AO560 E562:AO565 E567:AO581 E582:AR589 E593:AO605 E607:AO613 E615:AO620 E622:AO625 E627:AO641 E642:AR649 E653:AO665 E667:AO673 E675:AO680 E682:AO685 E687:AO701">
    <cfRule type="cellIs" dxfId="53" priority="2" stopIfTrue="1" operator="equal">
      <formula>1</formula>
    </cfRule>
    <cfRule type="cellIs" dxfId="52" priority="3" stopIfTrue="1" operator="equal">
      <formula>2</formula>
    </cfRule>
    <cfRule type="cellIs" dxfId="51" priority="4" operator="equal">
      <formula>3</formula>
    </cfRule>
  </conditionalFormatting>
  <conditionalFormatting sqref="E5:AP5 E58:AR58 E113:AR113 E169:AR169 E229:AR229 E289:AR289 E349:AR349 E409:AR409 E469:AR469 E531:AR531 E591:AR591 E651:AR651">
    <cfRule type="expression" dxfId="50" priority="6">
      <formula>NOT(ISNUMBER(E5))</formula>
    </cfRule>
  </conditionalFormatting>
  <conditionalFormatting sqref="E59:AR59">
    <cfRule type="expression" dxfId="49" priority="9" stopIfTrue="1">
      <formula>NOT(ISNUMBER(E58))</formula>
    </cfRule>
    <cfRule type="expression" dxfId="48" priority="10">
      <formula>OR(COUNTIF(E60:E111,1)&gt;1,COUNTIF(E60:E111,2)&gt;1,COUNTIF(E60:E111,3)&gt;1)</formula>
    </cfRule>
  </conditionalFormatting>
  <conditionalFormatting sqref="E114:AR114">
    <cfRule type="expression" dxfId="47" priority="11" stopIfTrue="1">
      <formula>NOT(ISNUMBER(E113))</formula>
    </cfRule>
    <cfRule type="expression" dxfId="46" priority="12">
      <formula>OR(COUNTIF(E115:E167,1)&gt;1,COUNTIF(E115:E167,2)&gt;1,COUNTIF(E115:E167,3)&gt;1)</formula>
    </cfRule>
  </conditionalFormatting>
  <conditionalFormatting sqref="E170:AR170">
    <cfRule type="expression" dxfId="45" priority="13" stopIfTrue="1">
      <formula>NOT(ISNUMBER(E169))</formula>
    </cfRule>
    <cfRule type="expression" dxfId="44" priority="14">
      <formula>OR(COUNTIF(E171:E227,1)&gt;1,COUNTIF(E171:E227,2)&gt;1,COUNTIF(E171:E227,3)&gt;1)</formula>
    </cfRule>
  </conditionalFormatting>
  <conditionalFormatting sqref="E230:AR230">
    <cfRule type="expression" dxfId="43" priority="15" stopIfTrue="1">
      <formula>NOT(ISNUMBER(E229))</formula>
    </cfRule>
    <cfRule type="expression" dxfId="42" priority="16">
      <formula>OR(COUNTIF(E231:E287,1)&gt;1,COUNTIF(E231:E287,2)&gt;1,COUNTIF(E231:E287,3)&gt;1)</formula>
    </cfRule>
  </conditionalFormatting>
  <conditionalFormatting sqref="E290:AR290">
    <cfRule type="expression" dxfId="41" priority="17" stopIfTrue="1">
      <formula>NOT(ISNUMBER(E289))</formula>
    </cfRule>
    <cfRule type="expression" dxfId="40" priority="18">
      <formula>OR(COUNTIF(E291:E347,1)&gt;1,COUNTIF(E291:E347,2)&gt;1,COUNTIF(E291:E347,3)&gt;1)</formula>
    </cfRule>
  </conditionalFormatting>
  <conditionalFormatting sqref="E350:AR350">
    <cfRule type="expression" dxfId="39" priority="19" stopIfTrue="1">
      <formula>NOT(ISNUMBER(E349))</formula>
    </cfRule>
    <cfRule type="expression" dxfId="38" priority="20">
      <formula>OR(COUNTIF(E351:E407,1)&gt;1,COUNTIF(E351:E407,2)&gt;1,COUNTIF(E351:E407,3)&gt;1)</formula>
    </cfRule>
  </conditionalFormatting>
  <conditionalFormatting sqref="E410:AR410">
    <cfRule type="expression" dxfId="37" priority="21" stopIfTrue="1">
      <formula>NOT(ISNUMBER(E409))</formula>
    </cfRule>
    <cfRule type="expression" dxfId="36" priority="22">
      <formula>OR(COUNTIF(E411:E467,1)&gt;1,COUNTIF(E411:E467,2)&gt;1,COUNTIF(E411:E467,3)&gt;1)</formula>
    </cfRule>
  </conditionalFormatting>
  <conditionalFormatting sqref="E470:AR470">
    <cfRule type="expression" dxfId="35" priority="23" stopIfTrue="1">
      <formula>NOT(ISNUMBER(E469))</formula>
    </cfRule>
    <cfRule type="expression" dxfId="34" priority="24">
      <formula>OR(COUNTIF(E471:E529,1)&gt;1,COUNTIF(E471:E529,2)&gt;1,COUNTIF(E471:E529,3)&gt;1)</formula>
    </cfRule>
  </conditionalFormatting>
  <conditionalFormatting sqref="E532:AR532">
    <cfRule type="expression" dxfId="33" priority="25" stopIfTrue="1">
      <formula>NOT(ISNUMBER(E531))</formula>
    </cfRule>
    <cfRule type="expression" dxfId="32" priority="26">
      <formula>OR(COUNTIF(E533:E589,1)&gt;1,COUNTIF(E533:E589,2)&gt;1,COUNTIF(E533:E589,3)&gt;1)</formula>
    </cfRule>
  </conditionalFormatting>
  <conditionalFormatting sqref="E592:AR592">
    <cfRule type="expression" dxfId="31" priority="27" stopIfTrue="1">
      <formula>NOT(ISNUMBER(E591))</formula>
    </cfRule>
    <cfRule type="expression" dxfId="30" priority="28">
      <formula>OR(COUNTIF(E593:E649,1)&gt;1,COUNTIF(E593:E649,2)&gt;1,COUNTIF(E593:E649,3)&gt;1)</formula>
    </cfRule>
  </conditionalFormatting>
  <conditionalFormatting sqref="E652:AR652">
    <cfRule type="expression" dxfId="29" priority="1" stopIfTrue="1">
      <formula>NOT(ISNUMBER(E651))</formula>
    </cfRule>
    <cfRule type="expression" dxfId="28" priority="5">
      <formula>OR(COUNTIF(E653:E660,1)&gt;1,COUNTIF(E653:E660,2)&gt;1,COUNTIF(E653:E660,3)&gt;1)</formula>
    </cfRule>
  </conditionalFormatting>
  <dataValidations count="2">
    <dataValidation allowBlank="1" showInputMessage="1" showErrorMessage="1" promptTitle="Shift Work Calendar" prompt="Use the spin buttons to change the calendar year. _x000a__x000a_Calendar automatically shows daily shift schedule for up to 3 jobs. Setup the job/shift details and pattern from the Jobs and Shifts tab._x000a__x000a_Days highlighted red indicate schedule conflicts." sqref="C1" xr:uid="{00000000-0002-0000-0000-000000000000}"/>
    <dataValidation allowBlank="1" showInputMessage="1" showErrorMessage="1" prompt="Use the spin buttons to quickly change the calendar year" sqref="AJ1" xr:uid="{00000000-0002-0000-0000-000001000000}"/>
  </dataValidations>
  <printOptions horizontalCentered="1" verticalCentered="1"/>
  <pageMargins left="0.3" right="0.3" top="0.3" bottom="0.3" header="0.3" footer="0.3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">
              <controlPr defaultSize="0" print="0" autoPict="0" altText="Use the spinner button to change calendar year or change the year in cell AE3">
                <anchor moveWithCells="1">
                  <from>
                    <xdr:col>35</xdr:col>
                    <xdr:colOff>57150</xdr:colOff>
                    <xdr:row>0</xdr:row>
                    <xdr:rowOff>317500</xdr:rowOff>
                  </from>
                  <to>
                    <xdr:col>36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587BA-1ABB-44BA-B169-58E6348DF606}">
  <sheetPr>
    <pageSetUpPr fitToPage="1"/>
  </sheetPr>
  <dimension ref="C1:AS701"/>
  <sheetViews>
    <sheetView showGridLines="0" tabSelected="1" topLeftCell="C70" zoomScale="50" zoomScaleNormal="50" workbookViewId="0">
      <selection activeCell="AF60" sqref="AF60"/>
    </sheetView>
  </sheetViews>
  <sheetFormatPr defaultColWidth="0" defaultRowHeight="19" customHeight="1" x14ac:dyDescent="0.4"/>
  <cols>
    <col min="1" max="2" width="8.84375" style="6" hidden="1" customWidth="1"/>
    <col min="3" max="3" width="1.765625" style="6" customWidth="1"/>
    <col min="4" max="4" width="21.765625" style="6" customWidth="1"/>
    <col min="5" max="44" width="3.3046875" style="6" customWidth="1"/>
    <col min="45" max="45" width="1.765625" style="6" customWidth="1"/>
    <col min="46" max="16384" width="8.84375" style="6" hidden="1"/>
  </cols>
  <sheetData>
    <row r="1" spans="4:44" s="1" customFormat="1" ht="65.25" customHeight="1" thickBot="1" x14ac:dyDescent="1.4">
      <c r="D1" s="35" t="s">
        <v>0</v>
      </c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45" t="e" vm="1">
        <v>#VALUE!</v>
      </c>
      <c r="AF1" s="45"/>
      <c r="AG1" s="45"/>
      <c r="AH1" s="45"/>
      <c r="AI1" s="45"/>
      <c r="AJ1" s="44">
        <v>2026</v>
      </c>
      <c r="AK1" s="44"/>
      <c r="AL1" s="44"/>
      <c r="AM1" s="44"/>
      <c r="AN1" s="44"/>
      <c r="AO1" s="44"/>
      <c r="AP1" s="28"/>
      <c r="AQ1" s="28"/>
      <c r="AR1" s="28"/>
    </row>
    <row r="2" spans="4:44" customFormat="1" ht="21" customHeight="1" thickBot="1" x14ac:dyDescent="0.45">
      <c r="D2" s="36" t="s">
        <v>58</v>
      </c>
    </row>
    <row r="3" spans="4:44" customFormat="1" ht="19" customHeight="1" thickBot="1" x14ac:dyDescent="0.45">
      <c r="D3" s="37" t="s">
        <v>59</v>
      </c>
      <c r="AE3" s="13"/>
      <c r="AF3" s="6"/>
    </row>
    <row r="4" spans="4:44" customFormat="1" ht="19.5" customHeight="1" thickBot="1" x14ac:dyDescent="0.45">
      <c r="D4" s="38" t="s">
        <v>60</v>
      </c>
    </row>
    <row r="5" spans="4:44" s="10" customFormat="1" ht="19" customHeight="1" x14ac:dyDescent="0.4">
      <c r="D5" s="42">
        <f>DATE(CalendarYear,1,1)</f>
        <v>46023</v>
      </c>
      <c r="E5" s="16" t="str">
        <f>IF(DAY(JanSun1)=1,"",IF(AND(YEAR(JanSun1+1)=CalendarYear,MONTH(JanSun1+1)=1),JanSun1+1,""))</f>
        <v/>
      </c>
      <c r="F5" s="16" t="str">
        <f>IF(DAY(JanSun1)=1,"",IF(AND(YEAR(JanSun1+2)=CalendarYear,MONTH(JanSun1+2)=1),JanSun1+2,""))</f>
        <v/>
      </c>
      <c r="G5" s="16" t="str">
        <f>IF(DAY(JanSun1)=1,"",IF(AND(YEAR(JanSun1+3)=CalendarYear,MONTH(JanSun1+3)=1),JanSun1+3,""))</f>
        <v/>
      </c>
      <c r="H5" s="16" t="str">
        <f>IF(DAY(JanSun1)=1,"",IF(AND(YEAR(JanSun1+4)=CalendarYear,MONTH(JanSun1+4)=1),JanSun1+4,""))</f>
        <v/>
      </c>
      <c r="I5" s="16">
        <f>IF(DAY(JanSun1)=1,"",IF(AND(YEAR(JanSun1+5)=CalendarYear,MONTH(JanSun1+5)=1),JanSun1+5,""))</f>
        <v>46023</v>
      </c>
      <c r="J5" s="16">
        <f>IF(DAY(JanSun1)=1,"",IF(AND(YEAR(JanSun1+6)=CalendarYear,MONTH(JanSun1+6)=1),JanSun1+6,""))</f>
        <v>46024</v>
      </c>
      <c r="K5" s="16">
        <f>IF(DAY(JanSun1)=1,IF(AND(YEAR(JanSun1)=CalendarYear,MONTH(JanSun1)=1),JanSun1,""),IF(AND(YEAR(JanSun1+7)=CalendarYear,MONTH(JanSun1+7)=1),JanSun1+7,""))</f>
        <v>46025</v>
      </c>
      <c r="L5" s="16">
        <f>IF(DAY(JanSun1)=1,IF(AND(YEAR(JanSun1+1)=CalendarYear,MONTH(JanSun1+1)=1),JanSun1+1,""),IF(AND(YEAR(JanSun1+8)=CalendarYear,MONTH(JanSun1+8)=1),JanSun1+8,""))</f>
        <v>46026</v>
      </c>
      <c r="M5" s="16">
        <f>IF(DAY(JanSun1)=1,IF(AND(YEAR(JanSun1+2)=CalendarYear,MONTH(JanSun1+2)=1),JanSun1+2,""),IF(AND(YEAR(JanSun1+9)=CalendarYear,MONTH(JanSun1+9)=1),JanSun1+9,""))</f>
        <v>46027</v>
      </c>
      <c r="N5" s="16">
        <f>IF(DAY(JanSun1)=1,IF(AND(YEAR(JanSun1+3)=CalendarYear,MONTH(JanSun1+3)=1),JanSun1+3,""),IF(AND(YEAR(JanSun1+10)=CalendarYear,MONTH(JanSun1+10)=1),JanSun1+10,""))</f>
        <v>46028</v>
      </c>
      <c r="O5" s="16">
        <f>IF(DAY(JanSun1)=1,IF(AND(YEAR(JanSun1+4)=CalendarYear,MONTH(JanSun1+4)=1),JanSun1+4,""),IF(AND(YEAR(JanSun1+11)=CalendarYear,MONTH(JanSun1+11)=1),JanSun1+11,""))</f>
        <v>46029</v>
      </c>
      <c r="P5" s="16">
        <f>IF(DAY(JanSun1)=1,IF(AND(YEAR(JanSun1+5)=CalendarYear,MONTH(JanSun1+5)=1),JanSun1+5,""),IF(AND(YEAR(JanSun1+12)=CalendarYear,MONTH(JanSun1+12)=1),JanSun1+12,""))</f>
        <v>46030</v>
      </c>
      <c r="Q5" s="16">
        <f>IF(DAY(JanSun1)=1,IF(AND(YEAR(JanSun1+6)=CalendarYear,MONTH(JanSun1+6)=1),JanSun1+6,""),IF(AND(YEAR(JanSun1+13)=CalendarYear,MONTH(JanSun1+13)=1),JanSun1+13,""))</f>
        <v>46031</v>
      </c>
      <c r="R5" s="16">
        <f>IF(DAY(JanSun1)=1,IF(AND(YEAR(JanSun1+7)=CalendarYear,MONTH(JanSun1+7)=1),JanSun1+7,""),IF(AND(YEAR(JanSun1+14)=CalendarYear,MONTH(JanSun1+14)=1),JanSun1+14,""))</f>
        <v>46032</v>
      </c>
      <c r="S5" s="16">
        <f>IF(DAY(JanSun1)=1,IF(AND(YEAR(JanSun1+8)=CalendarYear,MONTH(JanSun1+8)=1),JanSun1+8,""),IF(AND(YEAR(JanSun1+15)=CalendarYear,MONTH(JanSun1+15)=1),JanSun1+15,""))</f>
        <v>46033</v>
      </c>
      <c r="T5" s="16">
        <f>IF(DAY(JanSun1)=1,IF(AND(YEAR(JanSun1+9)=CalendarYear,MONTH(JanSun1+9)=1),JanSun1+9,""),IF(AND(YEAR(JanSun1+16)=CalendarYear,MONTH(JanSun1+16)=1),JanSun1+16,""))</f>
        <v>46034</v>
      </c>
      <c r="U5" s="16">
        <f>IF(DAY(JanSun1)=1,IF(AND(YEAR(JanSun1+10)=CalendarYear,MONTH(JanSun1+10)=1),JanSun1+10,""),IF(AND(YEAR(JanSun1+17)=CalendarYear,MONTH(JanSun1+17)=1),JanSun1+17,""))</f>
        <v>46035</v>
      </c>
      <c r="V5" s="16">
        <f>IF(DAY(JanSun1)=1,IF(AND(YEAR(JanSun1+11)=CalendarYear,MONTH(JanSun1+11)=1),JanSun1+11,""),IF(AND(YEAR(JanSun1+18)=CalendarYear,MONTH(JanSun1+18)=1),JanSun1+18,""))</f>
        <v>46036</v>
      </c>
      <c r="W5" s="16">
        <f>IF(DAY(JanSun1)=1,IF(AND(YEAR(JanSun1+12)=CalendarYear,MONTH(JanSun1+12)=1),JanSun1+12,""),IF(AND(YEAR(JanSun1+19)=CalendarYear,MONTH(JanSun1+19)=1),JanSun1+19,""))</f>
        <v>46037</v>
      </c>
      <c r="X5" s="16">
        <f>IF(DAY(JanSun1)=1,IF(AND(YEAR(JanSun1+13)=CalendarYear,MONTH(JanSun1+13)=1),JanSun1+13,""),IF(AND(YEAR(JanSun1+20)=CalendarYear,MONTH(JanSun1+20)=1),JanSun1+20,""))</f>
        <v>46038</v>
      </c>
      <c r="Y5" s="16">
        <f>IF(DAY(JanSun1)=1,IF(AND(YEAR(JanSun1+14)=CalendarYear,MONTH(JanSun1+14)=1),JanSun1+14,""),IF(AND(YEAR(JanSun1+21)=CalendarYear,MONTH(JanSun1+21)=1),JanSun1+21,""))</f>
        <v>46039</v>
      </c>
      <c r="Z5" s="16">
        <f>IF(DAY(JanSun1)=1,IF(AND(YEAR(JanSun1+15)=CalendarYear,MONTH(JanSun1+15)=1),JanSun1+15,""),IF(AND(YEAR(JanSun1+22)=CalendarYear,MONTH(JanSun1+22)=1),JanSun1+22,""))</f>
        <v>46040</v>
      </c>
      <c r="AA5" s="16">
        <f>IF(DAY(JanSun1)=1,IF(AND(YEAR(JanSun1+16)=CalendarYear,MONTH(JanSun1+16)=1),JanSun1+16,""),IF(AND(YEAR(JanSun1+23)=CalendarYear,MONTH(JanSun1+23)=1),JanSun1+23,""))</f>
        <v>46041</v>
      </c>
      <c r="AB5" s="16">
        <f>IF(DAY(JanSun1)=1,IF(AND(YEAR(JanSun1+17)=CalendarYear,MONTH(JanSun1+17)=1),JanSun1+17,""),IF(AND(YEAR(JanSun1+24)=CalendarYear,MONTH(JanSun1+24)=1),JanSun1+24,""))</f>
        <v>46042</v>
      </c>
      <c r="AC5" s="16">
        <f>IF(DAY(JanSun1)=1,IF(AND(YEAR(JanSun1+18)=CalendarYear,MONTH(JanSun1+18)=1),JanSun1+18,""),IF(AND(YEAR(JanSun1+25)=CalendarYear,MONTH(JanSun1+25)=1),JanSun1+25,""))</f>
        <v>46043</v>
      </c>
      <c r="AD5" s="16">
        <f>IF(DAY(JanSun1)=1,IF(AND(YEAR(JanSun1+19)=CalendarYear,MONTH(JanSun1+19)=1),JanSun1+19,""),IF(AND(YEAR(JanSun1+26)=CalendarYear,MONTH(JanSun1+26)=1),JanSun1+26,""))</f>
        <v>46044</v>
      </c>
      <c r="AE5" s="16">
        <f>IF(DAY(JanSun1)=1,IF(AND(YEAR(JanSun1+20)=CalendarYear,MONTH(JanSun1+20)=1),JanSun1+20,""),IF(AND(YEAR(JanSun1+27)=CalendarYear,MONTH(JanSun1+27)=1),JanSun1+27,""))</f>
        <v>46045</v>
      </c>
      <c r="AF5" s="16">
        <f>IF(DAY(JanSun1)=1,IF(AND(YEAR(JanSun1+21)=CalendarYear,MONTH(JanSun1+21)=1),JanSun1+21,""),IF(AND(YEAR(JanSun1+28)=CalendarYear,MONTH(JanSun1+28)=1),JanSun1+28,""))</f>
        <v>46046</v>
      </c>
      <c r="AG5" s="16">
        <f>IF(DAY(JanSun1)=1,IF(AND(YEAR(JanSun1+22)=CalendarYear,MONTH(JanSun1+22)=1),JanSun1+22,""),IF(AND(YEAR(JanSun1+29)=CalendarYear,MONTH(JanSun1+29)=1),JanSun1+29,""))</f>
        <v>46047</v>
      </c>
      <c r="AH5" s="16">
        <f>IF(DAY(JanSun1)=1,IF(AND(YEAR(JanSun1+23)=CalendarYear,MONTH(JanSun1+23)=1),JanSun1+23,""),IF(AND(YEAR(JanSun1+30)=CalendarYear,MONTH(JanSun1+30)=1),JanSun1+30,""))</f>
        <v>46048</v>
      </c>
      <c r="AI5" s="16">
        <f>IF(DAY(JanSun1)=1,IF(AND(YEAR(JanSun1+24)=CalendarYear,MONTH(JanSun1+24)=1),JanSun1+24,""),IF(AND(YEAR(JanSun1+31)=CalendarYear,MONTH(JanSun1+31)=1),JanSun1+31,""))</f>
        <v>46049</v>
      </c>
      <c r="AJ5" s="16">
        <f>IF(DAY(JanSun1)=1,IF(AND(YEAR(JanSun1+25)=CalendarYear,MONTH(JanSun1+25)=1),JanSun1+25,""),IF(AND(YEAR(JanSun1+32)=CalendarYear,MONTH(JanSun1+32)=1),JanSun1+32,""))</f>
        <v>46050</v>
      </c>
      <c r="AK5" s="16">
        <f>IF(DAY(JanSun1)=1,IF(AND(YEAR(JanSun1+26)=CalendarYear,MONTH(JanSun1+26)=1),JanSun1+26,""),IF(AND(YEAR(JanSun1+33)=CalendarYear,MONTH(JanSun1+33)=1),JanSun1+33,""))</f>
        <v>46051</v>
      </c>
      <c r="AL5" s="16">
        <f>IF(DAY(JanSun1)=1,IF(AND(YEAR(JanSun1+27)=CalendarYear,MONTH(JanSun1+27)=1),JanSun1+27,""),IF(AND(YEAR(JanSun1+34)=CalendarYear,MONTH(JanSun1+34)=1),JanSun1+34,""))</f>
        <v>46052</v>
      </c>
      <c r="AM5" s="16">
        <f>IF(DAY(JanSun1)=1,IF(AND(YEAR(JanSun1+28)=CalendarYear,MONTH(JanSun1+28)=1),JanSun1+28,""),IF(AND(YEAR(JanSun1+35)=CalendarYear,MONTH(JanSun1+35)=1),JanSun1+35,""))</f>
        <v>46053</v>
      </c>
      <c r="AN5" s="16" t="str">
        <f>IF(DAY(JanSun1)=1,IF(AND(YEAR(JanSun1+29)=CalendarYear,MONTH(JanSun1+29)=1),JanSun1+29,""),IF(AND(YEAR(JanSun1+36)=CalendarYear,MONTH(JanSun1+36)=1),JanSun1+36,""))</f>
        <v/>
      </c>
      <c r="AO5" s="17" t="str">
        <f>IF(DAY(JanSun1)=1,IF(AND(YEAR(JanSun1+30)=CalendarYear,MONTH(JanSun1+30)=1),JanSun1+30,""),IF(AND(YEAR(JanSun1+37)=CalendarYear,MONTH(JanSun1+37)=1),JanSun1+37,""))</f>
        <v/>
      </c>
      <c r="AP5" s="40" t="s">
        <v>1</v>
      </c>
      <c r="AQ5" s="40"/>
      <c r="AR5" s="40"/>
    </row>
    <row r="6" spans="4:44" s="10" customFormat="1" ht="19" customHeight="1" x14ac:dyDescent="0.4">
      <c r="D6" s="42"/>
      <c r="E6" s="11" t="s">
        <v>2</v>
      </c>
      <c r="F6" s="11" t="s">
        <v>3</v>
      </c>
      <c r="G6" s="11" t="s">
        <v>4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2</v>
      </c>
      <c r="M6" s="18" t="s">
        <v>3</v>
      </c>
      <c r="N6" s="18" t="s">
        <v>4</v>
      </c>
      <c r="O6" s="18" t="s">
        <v>5</v>
      </c>
      <c r="P6" s="18" t="s">
        <v>6</v>
      </c>
      <c r="Q6" s="18" t="s">
        <v>7</v>
      </c>
      <c r="R6" s="18" t="s">
        <v>8</v>
      </c>
      <c r="S6" s="18" t="s">
        <v>2</v>
      </c>
      <c r="T6" s="18" t="s">
        <v>3</v>
      </c>
      <c r="U6" s="18" t="s">
        <v>4</v>
      </c>
      <c r="V6" s="18" t="s">
        <v>5</v>
      </c>
      <c r="W6" s="18" t="s">
        <v>6</v>
      </c>
      <c r="X6" s="18" t="s">
        <v>7</v>
      </c>
      <c r="Y6" s="18" t="s">
        <v>8</v>
      </c>
      <c r="Z6" s="18" t="s">
        <v>2</v>
      </c>
      <c r="AA6" s="18" t="s">
        <v>3</v>
      </c>
      <c r="AB6" s="18" t="s">
        <v>4</v>
      </c>
      <c r="AC6" s="18" t="s">
        <v>5</v>
      </c>
      <c r="AD6" s="18" t="s">
        <v>6</v>
      </c>
      <c r="AE6" s="18" t="s">
        <v>7</v>
      </c>
      <c r="AF6" s="18" t="s">
        <v>8</v>
      </c>
      <c r="AG6" s="18" t="s">
        <v>2</v>
      </c>
      <c r="AH6" s="18" t="s">
        <v>3</v>
      </c>
      <c r="AI6" s="18" t="s">
        <v>4</v>
      </c>
      <c r="AJ6" s="18" t="s">
        <v>5</v>
      </c>
      <c r="AK6" s="18" t="s">
        <v>6</v>
      </c>
      <c r="AL6" s="18" t="s">
        <v>7</v>
      </c>
      <c r="AM6" s="18" t="s">
        <v>8</v>
      </c>
      <c r="AN6" s="11" t="s">
        <v>2</v>
      </c>
      <c r="AO6" s="12" t="s">
        <v>3</v>
      </c>
      <c r="AP6" s="40"/>
      <c r="AQ6" s="40"/>
      <c r="AR6" s="40"/>
    </row>
    <row r="7" spans="4:44" s="24" customFormat="1" ht="19" customHeight="1" thickBot="1" x14ac:dyDescent="0.45">
      <c r="D7" s="25" t="s">
        <v>9</v>
      </c>
    </row>
    <row r="8" spans="4:44" ht="24.65" customHeight="1" thickBot="1" x14ac:dyDescent="0.45">
      <c r="D8" s="21" t="s">
        <v>10</v>
      </c>
      <c r="E8" s="20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1"/>
      <c r="AP8" s="39">
        <v>2</v>
      </c>
      <c r="AQ8" s="39"/>
      <c r="AR8" s="39"/>
    </row>
    <row r="9" spans="4:44" ht="26.5" customHeight="1" thickBot="1" x14ac:dyDescent="0.45">
      <c r="D9" s="22" t="s">
        <v>11</v>
      </c>
      <c r="E9" s="20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1"/>
      <c r="AP9" s="39">
        <v>32</v>
      </c>
      <c r="AQ9" s="39"/>
      <c r="AR9" s="39"/>
    </row>
    <row r="10" spans="4:44" ht="28.5" customHeight="1" thickBot="1" x14ac:dyDescent="0.45">
      <c r="D10" s="22" t="s">
        <v>12</v>
      </c>
      <c r="E10" s="20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31"/>
      <c r="AP10" s="39">
        <v>61</v>
      </c>
      <c r="AQ10" s="39"/>
      <c r="AR10" s="39"/>
    </row>
    <row r="11" spans="4:44" ht="30.65" customHeight="1" thickBot="1" x14ac:dyDescent="0.45">
      <c r="D11" s="22" t="s">
        <v>13</v>
      </c>
      <c r="E11" s="20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31"/>
      <c r="AP11" s="39">
        <v>7</v>
      </c>
      <c r="AQ11" s="39"/>
      <c r="AR11" s="39"/>
    </row>
    <row r="12" spans="4:44" ht="30.65" customHeight="1" thickBot="1" x14ac:dyDescent="0.45">
      <c r="D12" s="22" t="s">
        <v>14</v>
      </c>
      <c r="E12" s="20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31"/>
      <c r="AP12" s="39">
        <v>7</v>
      </c>
      <c r="AQ12" s="39"/>
      <c r="AR12" s="39"/>
    </row>
    <row r="13" spans="4:44" ht="29.15" customHeight="1" thickBot="1" x14ac:dyDescent="0.45">
      <c r="D13" s="22" t="s">
        <v>15</v>
      </c>
      <c r="E13" s="20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31"/>
      <c r="AP13" s="39">
        <v>10</v>
      </c>
      <c r="AQ13" s="39"/>
      <c r="AR13" s="39"/>
    </row>
    <row r="14" spans="4:44" ht="30.65" customHeight="1" thickBot="1" x14ac:dyDescent="0.45">
      <c r="D14" s="22" t="s">
        <v>16</v>
      </c>
      <c r="E14" s="20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31"/>
      <c r="AP14" s="39">
        <v>2</v>
      </c>
      <c r="AQ14" s="39"/>
      <c r="AR14" s="39"/>
    </row>
    <row r="15" spans="4:44" ht="42.65" customHeight="1" thickBot="1" x14ac:dyDescent="0.45">
      <c r="D15" s="22" t="s">
        <v>17</v>
      </c>
      <c r="E15" s="20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31"/>
      <c r="AP15" s="39">
        <v>4</v>
      </c>
      <c r="AQ15" s="39"/>
      <c r="AR15" s="39"/>
    </row>
    <row r="16" spans="4:44" ht="48.65" customHeight="1" thickBot="1" x14ac:dyDescent="0.45">
      <c r="D16" s="22" t="s">
        <v>18</v>
      </c>
      <c r="E16" s="20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31"/>
      <c r="AP16" s="39">
        <v>2</v>
      </c>
      <c r="AQ16" s="39"/>
      <c r="AR16" s="39"/>
    </row>
    <row r="17" spans="4:44" ht="36.65" customHeight="1" thickBot="1" x14ac:dyDescent="0.45">
      <c r="D17" s="22" t="s">
        <v>19</v>
      </c>
      <c r="E17" s="20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31"/>
      <c r="AP17" s="39">
        <v>6</v>
      </c>
      <c r="AQ17" s="39"/>
      <c r="AR17" s="39"/>
    </row>
    <row r="18" spans="4:44" ht="34.5" customHeight="1" thickBot="1" x14ac:dyDescent="0.45">
      <c r="D18" s="22" t="s">
        <v>20</v>
      </c>
      <c r="E18" s="20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31"/>
      <c r="AP18" s="39">
        <v>13</v>
      </c>
      <c r="AQ18" s="39"/>
      <c r="AR18" s="39"/>
    </row>
    <row r="19" spans="4:44" ht="32.15" customHeight="1" thickBot="1" x14ac:dyDescent="0.45">
      <c r="D19" s="22" t="s">
        <v>21</v>
      </c>
      <c r="E19" s="20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31"/>
      <c r="AP19" s="39">
        <v>1</v>
      </c>
      <c r="AQ19" s="39"/>
      <c r="AR19" s="39"/>
    </row>
    <row r="20" spans="4:44" ht="34.5" customHeight="1" thickBot="1" x14ac:dyDescent="0.45">
      <c r="D20" s="22" t="s">
        <v>22</v>
      </c>
      <c r="E20" s="20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31"/>
      <c r="AP20" s="39">
        <v>6</v>
      </c>
      <c r="AQ20" s="39"/>
      <c r="AR20" s="39"/>
    </row>
    <row r="21" spans="4:44" ht="19.5" customHeight="1" thickBot="1" x14ac:dyDescent="0.45"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</row>
    <row r="22" spans="4:44" ht="34" customHeight="1" thickBot="1" x14ac:dyDescent="0.45">
      <c r="D22" s="21" t="s">
        <v>23</v>
      </c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31"/>
      <c r="AP22" s="39" t="s">
        <v>24</v>
      </c>
      <c r="AQ22" s="39"/>
      <c r="AR22" s="39"/>
    </row>
    <row r="23" spans="4:44" ht="35.15" customHeight="1" thickBot="1" x14ac:dyDescent="0.45">
      <c r="D23" s="22" t="s">
        <v>25</v>
      </c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31"/>
      <c r="AP23" s="39" t="s">
        <v>26</v>
      </c>
      <c r="AQ23" s="39"/>
      <c r="AR23" s="39"/>
    </row>
    <row r="24" spans="4:44" ht="39" customHeight="1" thickBot="1" x14ac:dyDescent="0.45">
      <c r="D24" s="22" t="s">
        <v>27</v>
      </c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31"/>
      <c r="AP24" s="39" t="s">
        <v>28</v>
      </c>
      <c r="AQ24" s="39"/>
      <c r="AR24" s="39"/>
    </row>
    <row r="25" spans="4:44" ht="39" customHeight="1" thickBot="1" x14ac:dyDescent="0.45">
      <c r="D25" s="22" t="s">
        <v>29</v>
      </c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31"/>
      <c r="AP25" s="39">
        <v>34</v>
      </c>
      <c r="AQ25" s="39"/>
      <c r="AR25" s="39"/>
    </row>
    <row r="26" spans="4:44" ht="19" customHeight="1" thickBot="1" x14ac:dyDescent="0.45">
      <c r="D26" s="22" t="s">
        <v>30</v>
      </c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31"/>
      <c r="AP26" s="39">
        <v>13</v>
      </c>
      <c r="AQ26" s="39"/>
      <c r="AR26" s="39"/>
    </row>
    <row r="27" spans="4:44" ht="19" customHeight="1" thickBot="1" x14ac:dyDescent="0.45">
      <c r="D27" s="22" t="s">
        <v>31</v>
      </c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31"/>
      <c r="AP27" s="39">
        <v>16</v>
      </c>
      <c r="AQ27" s="39"/>
      <c r="AR27" s="39"/>
    </row>
    <row r="28" spans="4:44" ht="19" customHeight="1" thickBot="1" x14ac:dyDescent="0.45">
      <c r="D28" s="22" t="s">
        <v>32</v>
      </c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31"/>
      <c r="AP28" s="39">
        <v>15</v>
      </c>
      <c r="AQ28" s="39"/>
      <c r="AR28" s="39"/>
    </row>
    <row r="29" spans="4:44" ht="19" customHeight="1" thickBot="1" x14ac:dyDescent="0.45"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32"/>
      <c r="AP29" s="26"/>
      <c r="AQ29" s="26"/>
      <c r="AR29" s="26"/>
    </row>
    <row r="30" spans="4:44" ht="50.5" customHeight="1" thickBot="1" x14ac:dyDescent="0.45">
      <c r="D30" s="21" t="s">
        <v>33</v>
      </c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31"/>
      <c r="AP30" s="39">
        <v>3</v>
      </c>
      <c r="AQ30" s="39"/>
      <c r="AR30" s="39"/>
    </row>
    <row r="31" spans="4:44" ht="55.5" customHeight="1" thickBot="1" x14ac:dyDescent="0.45">
      <c r="D31" s="22" t="s">
        <v>34</v>
      </c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31"/>
      <c r="AP31" s="39">
        <v>7</v>
      </c>
      <c r="AQ31" s="39"/>
      <c r="AR31" s="39"/>
    </row>
    <row r="32" spans="4:44" ht="57" customHeight="1" thickBot="1" x14ac:dyDescent="0.45">
      <c r="D32" s="22" t="s">
        <v>35</v>
      </c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31"/>
      <c r="AP32" s="39">
        <v>2</v>
      </c>
      <c r="AQ32" s="39"/>
      <c r="AR32" s="39"/>
    </row>
    <row r="33" spans="4:44" ht="47.5" customHeight="1" thickBot="1" x14ac:dyDescent="0.45">
      <c r="D33" s="22" t="s">
        <v>36</v>
      </c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31"/>
      <c r="AP33" s="39">
        <v>4</v>
      </c>
      <c r="AQ33" s="39"/>
      <c r="AR33" s="39"/>
    </row>
    <row r="34" spans="4:44" ht="47.15" customHeight="1" thickBot="1" x14ac:dyDescent="0.45">
      <c r="D34" s="22" t="s">
        <v>37</v>
      </c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31"/>
      <c r="AP34" s="39">
        <v>2</v>
      </c>
      <c r="AQ34" s="39"/>
      <c r="AR34" s="39"/>
    </row>
    <row r="35" spans="4:44" ht="51.65" customHeight="1" thickBot="1" x14ac:dyDescent="0.45">
      <c r="D35" s="22" t="s">
        <v>38</v>
      </c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31"/>
      <c r="AP35" s="39">
        <v>8</v>
      </c>
      <c r="AQ35" s="39"/>
      <c r="AR35" s="39"/>
    </row>
    <row r="36" spans="4:44" ht="19" customHeight="1" thickBot="1" x14ac:dyDescent="0.45"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33"/>
      <c r="AP36" s="34"/>
      <c r="AQ36" s="34"/>
      <c r="AR36" s="34"/>
    </row>
    <row r="37" spans="4:44" ht="19" customHeight="1" thickBot="1" x14ac:dyDescent="0.45">
      <c r="D37" s="21" t="s">
        <v>39</v>
      </c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31"/>
      <c r="AP37" s="39">
        <v>3</v>
      </c>
      <c r="AQ37" s="39"/>
      <c r="AR37" s="39"/>
    </row>
    <row r="38" spans="4:44" ht="30.65" customHeight="1" thickBot="1" x14ac:dyDescent="0.45">
      <c r="D38" s="22" t="s">
        <v>40</v>
      </c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31"/>
      <c r="AP38" s="39">
        <v>3</v>
      </c>
      <c r="AQ38" s="39"/>
      <c r="AR38" s="39"/>
    </row>
    <row r="39" spans="4:44" ht="25.5" customHeight="1" thickBot="1" x14ac:dyDescent="0.45">
      <c r="D39" s="22" t="s">
        <v>41</v>
      </c>
      <c r="E39" s="20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31"/>
      <c r="AP39" s="39">
        <v>2</v>
      </c>
      <c r="AQ39" s="39"/>
      <c r="AR39" s="39"/>
    </row>
    <row r="40" spans="4:44" ht="19" customHeight="1" thickBot="1" x14ac:dyDescent="0.45">
      <c r="D40" s="22" t="s">
        <v>42</v>
      </c>
      <c r="E40" s="20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31"/>
      <c r="AP40" s="39">
        <v>2</v>
      </c>
      <c r="AQ40" s="39"/>
      <c r="AR40" s="39"/>
    </row>
    <row r="41" spans="4:44" ht="19" customHeight="1" thickBot="1" x14ac:dyDescent="0.45"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32"/>
      <c r="AP41" s="26"/>
      <c r="AQ41" s="26"/>
      <c r="AR41" s="26"/>
    </row>
    <row r="42" spans="4:44" ht="38.15" customHeight="1" thickBot="1" x14ac:dyDescent="0.45">
      <c r="D42" s="21" t="s">
        <v>43</v>
      </c>
      <c r="E42" s="20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31"/>
      <c r="AP42" s="39">
        <v>2</v>
      </c>
      <c r="AQ42" s="39"/>
      <c r="AR42" s="39"/>
    </row>
    <row r="43" spans="4:44" ht="42" customHeight="1" thickBot="1" x14ac:dyDescent="0.45">
      <c r="D43" s="22" t="s">
        <v>44</v>
      </c>
      <c r="E43" s="20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31"/>
      <c r="AP43" s="39">
        <v>2</v>
      </c>
      <c r="AQ43" s="39"/>
      <c r="AR43" s="39"/>
    </row>
    <row r="44" spans="4:44" ht="50.15" customHeight="1" thickBot="1" x14ac:dyDescent="0.45">
      <c r="D44" s="22" t="s">
        <v>45</v>
      </c>
      <c r="E44" s="20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31"/>
      <c r="AP44" s="39">
        <v>1</v>
      </c>
      <c r="AQ44" s="39"/>
      <c r="AR44" s="39"/>
    </row>
    <row r="45" spans="4:44" ht="48" customHeight="1" thickBot="1" x14ac:dyDescent="0.45">
      <c r="D45" s="22" t="s">
        <v>46</v>
      </c>
      <c r="E45" s="20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31"/>
      <c r="AP45" s="39">
        <v>2</v>
      </c>
      <c r="AQ45" s="39"/>
      <c r="AR45" s="39"/>
    </row>
    <row r="46" spans="4:44" ht="45" customHeight="1" thickBot="1" x14ac:dyDescent="0.45">
      <c r="D46" s="22" t="s">
        <v>47</v>
      </c>
      <c r="E46" s="20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31"/>
      <c r="AP46" s="39">
        <v>2</v>
      </c>
      <c r="AQ46" s="39"/>
      <c r="AR46" s="39"/>
    </row>
    <row r="47" spans="4:44" ht="40" customHeight="1" thickBot="1" x14ac:dyDescent="0.45">
      <c r="D47" s="22" t="s">
        <v>48</v>
      </c>
      <c r="E47" s="20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31"/>
      <c r="AP47" s="39">
        <v>3</v>
      </c>
      <c r="AQ47" s="39"/>
      <c r="AR47" s="39"/>
    </row>
    <row r="48" spans="4:44" ht="49" customHeight="1" thickBot="1" x14ac:dyDescent="0.45">
      <c r="D48" s="22" t="s">
        <v>49</v>
      </c>
      <c r="E48" s="20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31"/>
      <c r="AP48" s="39">
        <v>2</v>
      </c>
      <c r="AQ48" s="39"/>
      <c r="AR48" s="39"/>
    </row>
    <row r="49" spans="4:44" ht="38.15" customHeight="1" thickBot="1" x14ac:dyDescent="0.45">
      <c r="D49" s="22" t="s">
        <v>50</v>
      </c>
      <c r="E49" s="20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31"/>
      <c r="AP49" s="39">
        <v>1</v>
      </c>
      <c r="AQ49" s="39"/>
      <c r="AR49" s="39"/>
    </row>
    <row r="50" spans="4:44" ht="34.5" customHeight="1" thickBot="1" x14ac:dyDescent="0.45">
      <c r="D50" s="22" t="s">
        <v>51</v>
      </c>
      <c r="E50" s="20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31"/>
      <c r="AP50" s="39">
        <v>1</v>
      </c>
      <c r="AQ50" s="39"/>
      <c r="AR50" s="39"/>
    </row>
    <row r="51" spans="4:44" ht="24" customHeight="1" thickBot="1" x14ac:dyDescent="0.45">
      <c r="D51" s="22" t="s">
        <v>52</v>
      </c>
      <c r="E51" s="20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31"/>
      <c r="AP51" s="39">
        <v>3</v>
      </c>
      <c r="AQ51" s="39"/>
      <c r="AR51" s="39"/>
    </row>
    <row r="52" spans="4:44" ht="19" customHeight="1" thickBot="1" x14ac:dyDescent="0.45">
      <c r="D52" s="22" t="s">
        <v>53</v>
      </c>
      <c r="E52" s="20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31"/>
      <c r="AP52" s="39">
        <v>2</v>
      </c>
      <c r="AQ52" s="39"/>
      <c r="AR52" s="39"/>
    </row>
    <row r="53" spans="4:44" ht="49.5" customHeight="1" thickBot="1" x14ac:dyDescent="0.45">
      <c r="D53" s="22" t="s">
        <v>54</v>
      </c>
      <c r="E53" s="20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31"/>
      <c r="AP53" s="39">
        <v>1</v>
      </c>
      <c r="AQ53" s="39"/>
      <c r="AR53" s="39"/>
    </row>
    <row r="54" spans="4:44" ht="37.5" customHeight="1" thickBot="1" x14ac:dyDescent="0.45">
      <c r="D54" s="22" t="s">
        <v>55</v>
      </c>
      <c r="E54" s="20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31"/>
      <c r="AP54" s="39">
        <v>1</v>
      </c>
      <c r="AQ54" s="39"/>
      <c r="AR54" s="39"/>
    </row>
    <row r="55" spans="4:44" ht="54.65" customHeight="1" thickBot="1" x14ac:dyDescent="0.45">
      <c r="D55" s="22" t="s">
        <v>56</v>
      </c>
      <c r="E55" s="20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31"/>
      <c r="AP55" s="39">
        <v>2</v>
      </c>
      <c r="AQ55" s="39"/>
      <c r="AR55" s="39"/>
    </row>
    <row r="56" spans="4:44" ht="19" customHeight="1" thickBot="1" x14ac:dyDescent="0.45">
      <c r="D56" s="22" t="s">
        <v>57</v>
      </c>
      <c r="E56" s="20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31"/>
      <c r="AP56" s="39">
        <v>2</v>
      </c>
      <c r="AQ56" s="39"/>
      <c r="AR56" s="39"/>
    </row>
    <row r="57" spans="4:44" ht="12" customHeight="1" x14ac:dyDescent="0.4"/>
    <row r="58" spans="4:44" s="7" customFormat="1" ht="19" customHeight="1" x14ac:dyDescent="0.4">
      <c r="D58" s="41">
        <f>DATE(CalendarYear,2,1)</f>
        <v>46054</v>
      </c>
      <c r="E58" s="16">
        <f>IF(DAY(FebSun1)=1,"",IF(AND(YEAR(FebSun1+1)=CalendarYear,MONTH(FebSun1+1)=2),FebSun1+1,""))</f>
        <v>46054</v>
      </c>
      <c r="F58" s="16">
        <f>IF(DAY(FebSun1)=1,"",IF(AND(YEAR(FebSun1+2)=CalendarYear,MONTH(FebSun1+2)=2),FebSun1+2,""))</f>
        <v>46055</v>
      </c>
      <c r="G58" s="16">
        <f>IF(DAY(FebSun1)=1,"",IF(AND(YEAR(FebSun1+3)=CalendarYear,MONTH(FebSun1+3)=2),FebSun1+3,""))</f>
        <v>46056</v>
      </c>
      <c r="H58" s="16">
        <f>IF(DAY(FebSun1)=1,"",IF(AND(YEAR(FebSun1+4)=CalendarYear,MONTH(FebSun1+4)=2),FebSun1+4,""))</f>
        <v>46057</v>
      </c>
      <c r="I58" s="16">
        <f>IF(DAY(FebSun1)=1,"",IF(AND(YEAR(FebSun1+5)=CalendarYear,MONTH(FebSun1+5)=2),FebSun1+5,""))</f>
        <v>46058</v>
      </c>
      <c r="J58" s="16">
        <f>IF(DAY(FebSun1)=1,"",IF(AND(YEAR(FebSun1+6)=CalendarYear,MONTH(FebSun1+6)=2),FebSun1+6,""))</f>
        <v>46059</v>
      </c>
      <c r="K58" s="16">
        <f>IF(DAY(FebSun1)=1,IF(AND(YEAR(FebSun1)=CalendarYear,MONTH(FebSun1)=2),FebSun1,""),IF(AND(YEAR(FebSun1+7)=CalendarYear,MONTH(FebSun1+7)=2),FebSun1+7,""))</f>
        <v>46060</v>
      </c>
      <c r="L58" s="16">
        <f>IF(DAY(FebSun1)=1,IF(AND(YEAR(FebSun1+1)=CalendarYear,MONTH(FebSun1+1)=2),FebSun1+1,""),IF(AND(YEAR(FebSun1+8)=CalendarYear,MONTH(FebSun1+8)=2),FebSun1+8,""))</f>
        <v>46061</v>
      </c>
      <c r="M58" s="16">
        <f>IF(DAY(FebSun1)=1,IF(AND(YEAR(FebSun1+2)=CalendarYear,MONTH(FebSun1+2)=2),FebSun1+2,""),IF(AND(YEAR(FebSun1+9)=CalendarYear,MONTH(FebSun1+9)=2),FebSun1+9,""))</f>
        <v>46062</v>
      </c>
      <c r="N58" s="16">
        <f>IF(DAY(FebSun1)=1,IF(AND(YEAR(FebSun1+3)=CalendarYear,MONTH(FebSun1+3)=2),FebSun1+3,""),IF(AND(YEAR(FebSun1+10)=CalendarYear,MONTH(FebSun1+10)=2),FebSun1+10,""))</f>
        <v>46063</v>
      </c>
      <c r="O58" s="16">
        <f>IF(DAY(FebSun1)=1,IF(AND(YEAR(FebSun1+4)=CalendarYear,MONTH(FebSun1+4)=2),FebSun1+4,""),IF(AND(YEAR(FebSun1+11)=CalendarYear,MONTH(FebSun1+11)=2),FebSun1+11,""))</f>
        <v>46064</v>
      </c>
      <c r="P58" s="16">
        <f>IF(DAY(FebSun1)=1,IF(AND(YEAR(FebSun1+5)=CalendarYear,MONTH(FebSun1+5)=2),FebSun1+5,""),IF(AND(YEAR(FebSun1+12)=CalendarYear,MONTH(FebSun1+12)=2),FebSun1+12,""))</f>
        <v>46065</v>
      </c>
      <c r="Q58" s="16">
        <f>IF(DAY(FebSun1)=1,IF(AND(YEAR(FebSun1+6)=CalendarYear,MONTH(FebSun1+6)=2),FebSun1+6,""),IF(AND(YEAR(FebSun1+13)=CalendarYear,MONTH(FebSun1+13)=2),FebSun1+13,""))</f>
        <v>46066</v>
      </c>
      <c r="R58" s="16">
        <f>IF(DAY(FebSun1)=1,IF(AND(YEAR(FebSun1+7)=CalendarYear,MONTH(FebSun1+7)=2),FebSun1+7,""),IF(AND(YEAR(FebSun1+14)=CalendarYear,MONTH(FebSun1+14)=2),FebSun1+14,""))</f>
        <v>46067</v>
      </c>
      <c r="S58" s="16">
        <f>IF(DAY(FebSun1)=1,IF(AND(YEAR(FebSun1+8)=CalendarYear,MONTH(FebSun1+8)=2),FebSun1+8,""),IF(AND(YEAR(FebSun1+15)=CalendarYear,MONTH(FebSun1+15)=2),FebSun1+15,""))</f>
        <v>46068</v>
      </c>
      <c r="T58" s="16">
        <f>IF(DAY(FebSun1)=1,IF(AND(YEAR(FebSun1+9)=CalendarYear,MONTH(FebSun1+9)=2),FebSun1+9,""),IF(AND(YEAR(FebSun1+16)=CalendarYear,MONTH(FebSun1+16)=2),FebSun1+16,""))</f>
        <v>46069</v>
      </c>
      <c r="U58" s="16">
        <f>IF(DAY(FebSun1)=1,IF(AND(YEAR(FebSun1+10)=CalendarYear,MONTH(FebSun1+10)=2),FebSun1+10,""),IF(AND(YEAR(FebSun1+17)=CalendarYear,MONTH(FebSun1+17)=2),FebSun1+17,""))</f>
        <v>46070</v>
      </c>
      <c r="V58" s="16">
        <f>IF(DAY(FebSun1)=1,IF(AND(YEAR(FebSun1+11)=CalendarYear,MONTH(FebSun1+11)=2),FebSun1+11,""),IF(AND(YEAR(FebSun1+18)=CalendarYear,MONTH(FebSun1+18)=2),FebSun1+18,""))</f>
        <v>46071</v>
      </c>
      <c r="W58" s="16">
        <f>IF(DAY(FebSun1)=1,IF(AND(YEAR(FebSun1+12)=CalendarYear,MONTH(FebSun1+12)=2),FebSun1+12,""),IF(AND(YEAR(FebSun1+19)=CalendarYear,MONTH(FebSun1+19)=2),FebSun1+19,""))</f>
        <v>46072</v>
      </c>
      <c r="X58" s="16">
        <f>IF(DAY(FebSun1)=1,IF(AND(YEAR(FebSun1+13)=CalendarYear,MONTH(FebSun1+13)=2),FebSun1+13,""),IF(AND(YEAR(FebSun1+20)=CalendarYear,MONTH(FebSun1+20)=2),FebSun1+20,""))</f>
        <v>46073</v>
      </c>
      <c r="Y58" s="16">
        <f>IF(DAY(FebSun1)=1,IF(AND(YEAR(FebSun1+14)=CalendarYear,MONTH(FebSun1+14)=2),FebSun1+14,""),IF(AND(YEAR(FebSun1+21)=CalendarYear,MONTH(FebSun1+21)=2),FebSun1+21,""))</f>
        <v>46074</v>
      </c>
      <c r="Z58" s="16">
        <f>IF(DAY(FebSun1)=1,IF(AND(YEAR(FebSun1+15)=CalendarYear,MONTH(FebSun1+15)=2),FebSun1+15,""),IF(AND(YEAR(FebSun1+22)=CalendarYear,MONTH(FebSun1+22)=2),FebSun1+22,""))</f>
        <v>46075</v>
      </c>
      <c r="AA58" s="16">
        <f>IF(DAY(FebSun1)=1,IF(AND(YEAR(FebSun1+16)=CalendarYear,MONTH(FebSun1+16)=2),FebSun1+16,""),IF(AND(YEAR(FebSun1+23)=CalendarYear,MONTH(FebSun1+23)=2),FebSun1+23,""))</f>
        <v>46076</v>
      </c>
      <c r="AB58" s="16">
        <f>IF(DAY(FebSun1)=1,IF(AND(YEAR(FebSun1+17)=CalendarYear,MONTH(FebSun1+17)=2),FebSun1+17,""),IF(AND(YEAR(FebSun1+24)=CalendarYear,MONTH(FebSun1+24)=2),FebSun1+24,""))</f>
        <v>46077</v>
      </c>
      <c r="AC58" s="16">
        <f>IF(DAY(FebSun1)=1,IF(AND(YEAR(FebSun1+18)=CalendarYear,MONTH(FebSun1+18)=2),FebSun1+18,""),IF(AND(YEAR(FebSun1+25)=CalendarYear,MONTH(FebSun1+25)=2),FebSun1+25,""))</f>
        <v>46078</v>
      </c>
      <c r="AD58" s="16">
        <f>IF(DAY(FebSun1)=1,IF(AND(YEAR(FebSun1+19)=CalendarYear,MONTH(FebSun1+19)=2),FebSun1+19,""),IF(AND(YEAR(FebSun1+26)=CalendarYear,MONTH(FebSun1+26)=2),FebSun1+26,""))</f>
        <v>46079</v>
      </c>
      <c r="AE58" s="16">
        <f>IF(DAY(FebSun1)=1,IF(AND(YEAR(FebSun1+20)=CalendarYear,MONTH(FebSun1+20)=2),FebSun1+20,""),IF(AND(YEAR(FebSun1+27)=CalendarYear,MONTH(FebSun1+27)=2),FebSun1+27,""))</f>
        <v>46080</v>
      </c>
      <c r="AF58" s="16">
        <f>IF(DAY(FebSun1)=1,IF(AND(YEAR(FebSun1+21)=CalendarYear,MONTH(FebSun1+21)=2),FebSun1+21,""),IF(AND(YEAR(FebSun1+28)=CalendarYear,MONTH(FebSun1+28)=2),FebSun1+28,""))</f>
        <v>46081</v>
      </c>
      <c r="AG58" s="16" t="str">
        <f>IF(DAY(FebSun1)=1,IF(AND(YEAR(FebSun1+22)=CalendarYear,MONTH(FebSun1+22)=2),FebSun1+22,""),IF(AND(YEAR(FebSun1+29)=CalendarYear,MONTH(FebSun1+29)=2),FebSun1+29,""))</f>
        <v/>
      </c>
      <c r="AH58" s="16" t="str">
        <f>IF(DAY(FebSun1)=1,IF(AND(YEAR(FebSun1+23)=CalendarYear,MONTH(FebSun1+23)=2),FebSun1+23,""),IF(AND(YEAR(FebSun1+30)=CalendarYear,MONTH(FebSun1+30)=2),FebSun1+30,""))</f>
        <v/>
      </c>
      <c r="AI58" s="16" t="str">
        <f>IF(DAY(FebSun1)=1,IF(AND(YEAR(FebSun1+24)=CalendarYear,MONTH(FebSun1+24)=2),FebSun1+24,""),IF(AND(YEAR(FebSun1+31)=CalendarYear,MONTH(FebSun1+31)=2),FebSun1+31,""))</f>
        <v/>
      </c>
      <c r="AJ58" s="16" t="str">
        <f>IF(DAY(FebSun1)=1,IF(AND(YEAR(FebSun1+25)=CalendarYear,MONTH(FebSun1+25)=2),FebSun1+25,""),IF(AND(YEAR(FebSun1+32)=CalendarYear,MONTH(FebSun1+32)=2),FebSun1+32,""))</f>
        <v/>
      </c>
      <c r="AK58" s="16" t="str">
        <f>IF(DAY(FebSun1)=1,IF(AND(YEAR(FebSun1+26)=CalendarYear,MONTH(FebSun1+26)=2),FebSun1+26,""),IF(AND(YEAR(FebSun1+33)=CalendarYear,MONTH(FebSun1+33)=2),FebSun1+33,""))</f>
        <v/>
      </c>
      <c r="AL58" s="16" t="str">
        <f>IF(DAY(FebSun1)=1,IF(AND(YEAR(FebSun1+27)=CalendarYear,MONTH(FebSun1+27)=2),FebSun1+27,""),IF(AND(YEAR(FebSun1+34)=CalendarYear,MONTH(FebSun1+34)=2),FebSun1+34,""))</f>
        <v/>
      </c>
      <c r="AM58" s="16" t="str">
        <f>IF(DAY(FebSun1)=1,IF(AND(YEAR(FebSun1+28)=CalendarYear,MONTH(FebSun1+28)=2),FebSun1+28,""),IF(AND(YEAR(FebSun1+35)=CalendarYear,MONTH(FebSun1+35)=2),FebSun1+35,""))</f>
        <v/>
      </c>
      <c r="AN58" s="16" t="str">
        <f>IF(DAY(FebSun1)=1,IF(AND(YEAR(FebSun1+29)=CalendarYear,MONTH(FebSun1+29)=2),FebSun1+29,""),IF(AND(YEAR(FebSun1+36)=CalendarYear,MONTH(FebSun1+36)=2),FebSun1+36,""))</f>
        <v/>
      </c>
      <c r="AO58" s="17" t="str">
        <f>IF(DAY(FebSun1)=1,IF(AND(YEAR(FebSun1+30)=CalendarYear,MONTH(FebSun1+30)=2),FebSun1+30,""),IF(AND(YEAR(FebSun1+37)=CalendarYear,MONTH(FebSun1+37)=2),FebSun1+37,""))</f>
        <v/>
      </c>
      <c r="AP58" s="29"/>
      <c r="AQ58" s="29"/>
      <c r="AR58" s="29"/>
    </row>
    <row r="59" spans="4:44" s="7" customFormat="1" ht="19" customHeight="1" thickBot="1" x14ac:dyDescent="0.45">
      <c r="D59" s="43"/>
      <c r="E59" s="18" t="s">
        <v>2</v>
      </c>
      <c r="F59" s="18" t="s">
        <v>3</v>
      </c>
      <c r="G59" s="18" t="s">
        <v>4</v>
      </c>
      <c r="H59" s="18" t="s">
        <v>5</v>
      </c>
      <c r="I59" s="18" t="s">
        <v>6</v>
      </c>
      <c r="J59" s="18" t="s">
        <v>7</v>
      </c>
      <c r="K59" s="18" t="s">
        <v>8</v>
      </c>
      <c r="L59" s="18" t="s">
        <v>2</v>
      </c>
      <c r="M59" s="18" t="s">
        <v>3</v>
      </c>
      <c r="N59" s="18" t="s">
        <v>4</v>
      </c>
      <c r="O59" s="18" t="s">
        <v>5</v>
      </c>
      <c r="P59" s="18" t="s">
        <v>6</v>
      </c>
      <c r="Q59" s="18" t="s">
        <v>7</v>
      </c>
      <c r="R59" s="18" t="s">
        <v>8</v>
      </c>
      <c r="S59" s="18" t="s">
        <v>2</v>
      </c>
      <c r="T59" s="18" t="s">
        <v>3</v>
      </c>
      <c r="U59" s="18" t="s">
        <v>4</v>
      </c>
      <c r="V59" s="18" t="s">
        <v>5</v>
      </c>
      <c r="W59" s="18" t="s">
        <v>6</v>
      </c>
      <c r="X59" s="18" t="s">
        <v>7</v>
      </c>
      <c r="Y59" s="18" t="s">
        <v>8</v>
      </c>
      <c r="Z59" s="18" t="s">
        <v>2</v>
      </c>
      <c r="AA59" s="18" t="s">
        <v>3</v>
      </c>
      <c r="AB59" s="18" t="s">
        <v>4</v>
      </c>
      <c r="AC59" s="18" t="s">
        <v>5</v>
      </c>
      <c r="AD59" s="18" t="s">
        <v>6</v>
      </c>
      <c r="AE59" s="18" t="s">
        <v>7</v>
      </c>
      <c r="AF59" s="18" t="s">
        <v>8</v>
      </c>
      <c r="AG59" s="18" t="s">
        <v>2</v>
      </c>
      <c r="AH59" s="18" t="s">
        <v>3</v>
      </c>
      <c r="AI59" s="18" t="s">
        <v>4</v>
      </c>
      <c r="AJ59" s="18" t="s">
        <v>5</v>
      </c>
      <c r="AK59" s="18" t="s">
        <v>6</v>
      </c>
      <c r="AL59" s="18" t="s">
        <v>7</v>
      </c>
      <c r="AM59" s="18" t="s">
        <v>8</v>
      </c>
      <c r="AN59" s="18" t="s">
        <v>2</v>
      </c>
      <c r="AO59" s="19" t="s">
        <v>3</v>
      </c>
      <c r="AP59" s="23"/>
      <c r="AQ59" s="23"/>
      <c r="AR59" s="23"/>
    </row>
    <row r="60" spans="4:44" ht="19" customHeight="1" thickBot="1" x14ac:dyDescent="0.45">
      <c r="D60" s="21" t="s">
        <v>10</v>
      </c>
      <c r="E60" s="20"/>
      <c r="F60" s="8"/>
      <c r="G60" s="8"/>
      <c r="H60" s="49" t="s">
        <v>61</v>
      </c>
      <c r="I60" s="50"/>
      <c r="J60" s="50"/>
      <c r="K60" s="50"/>
      <c r="L60" s="50"/>
      <c r="M60" s="50"/>
      <c r="N60" s="50"/>
      <c r="O60" s="51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31"/>
      <c r="AP60" s="39">
        <v>2</v>
      </c>
      <c r="AQ60" s="39"/>
      <c r="AR60" s="39"/>
    </row>
    <row r="61" spans="4:44" ht="33" customHeight="1" thickBot="1" x14ac:dyDescent="0.45">
      <c r="D61" s="22" t="s">
        <v>11</v>
      </c>
      <c r="E61" s="20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31"/>
      <c r="AP61" s="39">
        <v>32</v>
      </c>
      <c r="AQ61" s="39"/>
      <c r="AR61" s="39"/>
    </row>
    <row r="62" spans="4:44" ht="34.5" customHeight="1" thickBot="1" x14ac:dyDescent="0.45">
      <c r="D62" s="22" t="s">
        <v>12</v>
      </c>
      <c r="E62" s="20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31"/>
      <c r="AP62" s="39">
        <v>61</v>
      </c>
      <c r="AQ62" s="39"/>
      <c r="AR62" s="39"/>
    </row>
    <row r="63" spans="4:44" ht="49.5" customHeight="1" thickBot="1" x14ac:dyDescent="0.45">
      <c r="D63" s="22" t="s">
        <v>13</v>
      </c>
      <c r="E63" s="20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31"/>
      <c r="AP63" s="39">
        <v>7</v>
      </c>
      <c r="AQ63" s="39"/>
      <c r="AR63" s="39"/>
    </row>
    <row r="64" spans="4:44" ht="34.5" customHeight="1" thickBot="1" x14ac:dyDescent="0.45">
      <c r="D64" s="22" t="s">
        <v>14</v>
      </c>
      <c r="E64" s="20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31"/>
      <c r="AP64" s="39">
        <v>7</v>
      </c>
      <c r="AQ64" s="39"/>
      <c r="AR64" s="39"/>
    </row>
    <row r="65" spans="4:44" ht="34.5" customHeight="1" thickBot="1" x14ac:dyDescent="0.45">
      <c r="D65" s="22" t="s">
        <v>15</v>
      </c>
      <c r="E65" s="20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31"/>
      <c r="AP65" s="39">
        <v>10</v>
      </c>
      <c r="AQ65" s="39"/>
      <c r="AR65" s="39"/>
    </row>
    <row r="66" spans="4:44" ht="48.5" customHeight="1" thickBot="1" x14ac:dyDescent="0.45">
      <c r="D66" s="22" t="s">
        <v>16</v>
      </c>
      <c r="E66" s="20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31"/>
      <c r="AP66" s="39">
        <v>2</v>
      </c>
      <c r="AQ66" s="39"/>
      <c r="AR66" s="39"/>
    </row>
    <row r="67" spans="4:44" ht="52.5" customHeight="1" thickBot="1" x14ac:dyDescent="0.45">
      <c r="D67" s="22" t="s">
        <v>17</v>
      </c>
      <c r="E67" s="20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31"/>
      <c r="AP67" s="39">
        <v>4</v>
      </c>
      <c r="AQ67" s="39"/>
      <c r="AR67" s="39"/>
    </row>
    <row r="68" spans="4:44" ht="32" customHeight="1" thickBot="1" x14ac:dyDescent="0.45">
      <c r="D68" s="22" t="s">
        <v>18</v>
      </c>
      <c r="E68" s="20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31"/>
      <c r="AP68" s="39">
        <v>2</v>
      </c>
      <c r="AQ68" s="39"/>
      <c r="AR68" s="39"/>
    </row>
    <row r="69" spans="4:44" ht="21" customHeight="1" thickBot="1" x14ac:dyDescent="0.45">
      <c r="D69" s="22" t="s">
        <v>19</v>
      </c>
      <c r="E69" s="20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31"/>
      <c r="AP69" s="39">
        <v>6</v>
      </c>
      <c r="AQ69" s="39"/>
      <c r="AR69" s="39"/>
    </row>
    <row r="70" spans="4:44" ht="37" customHeight="1" thickBot="1" x14ac:dyDescent="0.45">
      <c r="D70" s="22" t="s">
        <v>20</v>
      </c>
      <c r="E70" s="20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31"/>
      <c r="AP70" s="39">
        <v>13</v>
      </c>
      <c r="AQ70" s="39"/>
      <c r="AR70" s="39"/>
    </row>
    <row r="71" spans="4:44" ht="37" customHeight="1" thickBot="1" x14ac:dyDescent="0.45">
      <c r="D71" s="22" t="s">
        <v>21</v>
      </c>
      <c r="E71" s="20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31"/>
      <c r="AP71" s="39">
        <v>1</v>
      </c>
      <c r="AQ71" s="39"/>
      <c r="AR71" s="39"/>
    </row>
    <row r="72" spans="4:44" ht="33" customHeight="1" thickBot="1" x14ac:dyDescent="0.45">
      <c r="D72" s="22" t="s">
        <v>22</v>
      </c>
      <c r="E72" s="20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31"/>
      <c r="AP72" s="39">
        <v>6</v>
      </c>
      <c r="AQ72" s="39"/>
      <c r="AR72" s="39"/>
    </row>
    <row r="73" spans="4:44" ht="19" customHeight="1" thickBot="1" x14ac:dyDescent="0.45"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</row>
    <row r="74" spans="4:44" ht="34.5" customHeight="1" thickBot="1" x14ac:dyDescent="0.45">
      <c r="D74" s="21" t="s">
        <v>23</v>
      </c>
      <c r="E74" s="20"/>
      <c r="F74" s="8"/>
      <c r="G74" s="8"/>
      <c r="H74" s="46" t="s">
        <v>61</v>
      </c>
      <c r="I74" s="47"/>
      <c r="J74" s="47"/>
      <c r="K74" s="47"/>
      <c r="L74" s="47"/>
      <c r="M74" s="47"/>
      <c r="N74" s="47"/>
      <c r="O74" s="4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31"/>
      <c r="AP74" s="39" t="s">
        <v>24</v>
      </c>
      <c r="AQ74" s="39"/>
      <c r="AR74" s="39"/>
    </row>
    <row r="75" spans="4:44" ht="31" customHeight="1" thickBot="1" x14ac:dyDescent="0.45">
      <c r="D75" s="22" t="s">
        <v>25</v>
      </c>
      <c r="E75" s="20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31"/>
      <c r="AP75" s="39" t="s">
        <v>26</v>
      </c>
      <c r="AQ75" s="39"/>
      <c r="AR75" s="39"/>
    </row>
    <row r="76" spans="4:44" ht="30" customHeight="1" thickBot="1" x14ac:dyDescent="0.45">
      <c r="D76" s="22" t="s">
        <v>27</v>
      </c>
      <c r="E76" s="20"/>
      <c r="F76" s="8"/>
      <c r="G76" s="8"/>
      <c r="H76" s="46" t="s">
        <v>62</v>
      </c>
      <c r="I76" s="47"/>
      <c r="J76" s="47"/>
      <c r="K76" s="47"/>
      <c r="L76" s="47"/>
      <c r="M76" s="47"/>
      <c r="N76" s="47"/>
      <c r="O76" s="4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31"/>
      <c r="AP76" s="39" t="s">
        <v>28</v>
      </c>
      <c r="AQ76" s="39"/>
      <c r="AR76" s="39"/>
    </row>
    <row r="77" spans="4:44" ht="32.5" customHeight="1" thickBot="1" x14ac:dyDescent="0.45">
      <c r="D77" s="22" t="s">
        <v>29</v>
      </c>
      <c r="E77" s="20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31"/>
      <c r="AP77" s="39">
        <v>34</v>
      </c>
      <c r="AQ77" s="39"/>
      <c r="AR77" s="39"/>
    </row>
    <row r="78" spans="4:44" ht="19" customHeight="1" thickBot="1" x14ac:dyDescent="0.45">
      <c r="D78" s="22" t="s">
        <v>30</v>
      </c>
      <c r="E78" s="20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31"/>
      <c r="AP78" s="39">
        <v>13</v>
      </c>
      <c r="AQ78" s="39"/>
      <c r="AR78" s="39"/>
    </row>
    <row r="79" spans="4:44" ht="19" customHeight="1" thickBot="1" x14ac:dyDescent="0.45">
      <c r="D79" s="22" t="s">
        <v>31</v>
      </c>
      <c r="E79" s="20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31"/>
      <c r="AP79" s="39">
        <v>16</v>
      </c>
      <c r="AQ79" s="39"/>
      <c r="AR79" s="39"/>
    </row>
    <row r="80" spans="4:44" ht="19" customHeight="1" thickBot="1" x14ac:dyDescent="0.45">
      <c r="D80" s="22" t="s">
        <v>32</v>
      </c>
      <c r="E80" s="20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31"/>
      <c r="AP80" s="39">
        <v>15</v>
      </c>
      <c r="AQ80" s="39"/>
      <c r="AR80" s="39"/>
    </row>
    <row r="81" spans="4:44" ht="19" customHeight="1" thickBot="1" x14ac:dyDescent="0.45"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32"/>
      <c r="AP81" s="26"/>
      <c r="AQ81" s="26"/>
      <c r="AR81" s="26"/>
    </row>
    <row r="82" spans="4:44" ht="52" customHeight="1" thickBot="1" x14ac:dyDescent="0.45">
      <c r="D82" s="21" t="s">
        <v>33</v>
      </c>
      <c r="E82" s="20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31"/>
      <c r="AP82" s="39">
        <v>3</v>
      </c>
      <c r="AQ82" s="39"/>
      <c r="AR82" s="39"/>
    </row>
    <row r="83" spans="4:44" ht="48" customHeight="1" thickBot="1" x14ac:dyDescent="0.45">
      <c r="D83" s="22" t="s">
        <v>34</v>
      </c>
      <c r="E83" s="20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31"/>
      <c r="AP83" s="39">
        <v>7</v>
      </c>
      <c r="AQ83" s="39"/>
      <c r="AR83" s="39"/>
    </row>
    <row r="84" spans="4:44" ht="56" customHeight="1" thickBot="1" x14ac:dyDescent="0.45">
      <c r="D84" s="22" t="s">
        <v>35</v>
      </c>
      <c r="E84" s="20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31"/>
      <c r="AP84" s="39">
        <v>2</v>
      </c>
      <c r="AQ84" s="39"/>
      <c r="AR84" s="39"/>
    </row>
    <row r="85" spans="4:44" ht="47" customHeight="1" thickBot="1" x14ac:dyDescent="0.45">
      <c r="D85" s="22" t="s">
        <v>36</v>
      </c>
      <c r="E85" s="20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31"/>
      <c r="AP85" s="39">
        <v>4</v>
      </c>
      <c r="AQ85" s="39"/>
      <c r="AR85" s="39"/>
    </row>
    <row r="86" spans="4:44" ht="40" customHeight="1" thickBot="1" x14ac:dyDescent="0.45">
      <c r="D86" s="22" t="s">
        <v>37</v>
      </c>
      <c r="E86" s="20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31"/>
      <c r="AP86" s="39">
        <v>2</v>
      </c>
      <c r="AQ86" s="39"/>
      <c r="AR86" s="39"/>
    </row>
    <row r="87" spans="4:44" ht="19" customHeight="1" thickBot="1" x14ac:dyDescent="0.45">
      <c r="D87" s="22" t="s">
        <v>38</v>
      </c>
      <c r="E87" s="20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31"/>
      <c r="AP87" s="39">
        <v>8</v>
      </c>
      <c r="AQ87" s="39"/>
      <c r="AR87" s="39"/>
    </row>
    <row r="88" spans="4:44" ht="19" customHeight="1" thickBot="1" x14ac:dyDescent="0.45"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33"/>
      <c r="AP88" s="34"/>
      <c r="AQ88" s="34"/>
      <c r="AR88" s="34"/>
    </row>
    <row r="89" spans="4:44" ht="19" customHeight="1" thickBot="1" x14ac:dyDescent="0.45">
      <c r="D89" s="21" t="s">
        <v>39</v>
      </c>
      <c r="E89" s="20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31"/>
      <c r="AP89" s="39">
        <v>3</v>
      </c>
      <c r="AQ89" s="39"/>
      <c r="AR89" s="39"/>
    </row>
    <row r="90" spans="4:44" ht="29.15" customHeight="1" thickBot="1" x14ac:dyDescent="0.45">
      <c r="D90" s="22" t="s">
        <v>40</v>
      </c>
      <c r="E90" s="20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31"/>
      <c r="AP90" s="39">
        <v>3</v>
      </c>
      <c r="AQ90" s="39"/>
      <c r="AR90" s="39"/>
    </row>
    <row r="91" spans="4:44" ht="27" customHeight="1" thickBot="1" x14ac:dyDescent="0.45">
      <c r="D91" s="22" t="s">
        <v>41</v>
      </c>
      <c r="E91" s="20"/>
      <c r="F91" s="8"/>
      <c r="G91" s="8"/>
      <c r="H91" s="46" t="s">
        <v>63</v>
      </c>
      <c r="I91" s="47"/>
      <c r="J91" s="47"/>
      <c r="K91" s="47"/>
      <c r="L91" s="47"/>
      <c r="M91" s="47"/>
      <c r="N91" s="47"/>
      <c r="O91" s="4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31"/>
      <c r="AP91" s="39">
        <v>2</v>
      </c>
      <c r="AQ91" s="39"/>
      <c r="AR91" s="39"/>
    </row>
    <row r="92" spans="4:44" ht="19" customHeight="1" thickBot="1" x14ac:dyDescent="0.45">
      <c r="D92" s="22" t="s">
        <v>42</v>
      </c>
      <c r="E92" s="20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31"/>
      <c r="AP92" s="39">
        <v>2</v>
      </c>
      <c r="AQ92" s="39"/>
      <c r="AR92" s="39"/>
    </row>
    <row r="93" spans="4:44" ht="19" customHeight="1" thickBot="1" x14ac:dyDescent="0.45"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32"/>
      <c r="AP93" s="26"/>
      <c r="AQ93" s="26"/>
      <c r="AR93" s="26"/>
    </row>
    <row r="94" spans="4:44" ht="30.65" customHeight="1" thickBot="1" x14ac:dyDescent="0.45">
      <c r="D94" s="21" t="s">
        <v>43</v>
      </c>
      <c r="E94" s="20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31"/>
      <c r="AP94" s="39">
        <v>2</v>
      </c>
      <c r="AQ94" s="39"/>
      <c r="AR94" s="39"/>
    </row>
    <row r="95" spans="4:44" ht="31.5" customHeight="1" thickBot="1" x14ac:dyDescent="0.45">
      <c r="D95" s="22" t="s">
        <v>44</v>
      </c>
      <c r="E95" s="20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31"/>
      <c r="AP95" s="39">
        <v>2</v>
      </c>
      <c r="AQ95" s="39"/>
      <c r="AR95" s="39"/>
    </row>
    <row r="96" spans="4:44" ht="31.5" customHeight="1" thickBot="1" x14ac:dyDescent="0.45">
      <c r="D96" s="22" t="s">
        <v>45</v>
      </c>
      <c r="E96" s="20"/>
      <c r="F96" s="8"/>
      <c r="G96" s="8"/>
      <c r="H96" s="46" t="s">
        <v>63</v>
      </c>
      <c r="I96" s="47"/>
      <c r="J96" s="47"/>
      <c r="K96" s="47"/>
      <c r="L96" s="47"/>
      <c r="M96" s="47"/>
      <c r="N96" s="47"/>
      <c r="O96" s="4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31"/>
      <c r="AP96" s="39">
        <v>1</v>
      </c>
      <c r="AQ96" s="39"/>
      <c r="AR96" s="39"/>
    </row>
    <row r="97" spans="4:44" ht="37" customHeight="1" thickBot="1" x14ac:dyDescent="0.45">
      <c r="D97" s="22" t="s">
        <v>46</v>
      </c>
      <c r="E97" s="20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31"/>
      <c r="AP97" s="39">
        <v>2</v>
      </c>
      <c r="AQ97" s="39"/>
      <c r="AR97" s="39"/>
    </row>
    <row r="98" spans="4:44" ht="40" customHeight="1" thickBot="1" x14ac:dyDescent="0.45">
      <c r="D98" s="22" t="s">
        <v>47</v>
      </c>
      <c r="E98" s="20"/>
      <c r="F98" s="8"/>
      <c r="G98" s="8"/>
      <c r="H98" s="46" t="s">
        <v>63</v>
      </c>
      <c r="I98" s="47"/>
      <c r="J98" s="47"/>
      <c r="K98" s="47"/>
      <c r="L98" s="47"/>
      <c r="M98" s="47"/>
      <c r="N98" s="47"/>
      <c r="O98" s="4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31"/>
      <c r="AP98" s="39">
        <v>2</v>
      </c>
      <c r="AQ98" s="39"/>
      <c r="AR98" s="39"/>
    </row>
    <row r="99" spans="4:44" ht="37" customHeight="1" thickBot="1" x14ac:dyDescent="0.45">
      <c r="D99" s="22" t="s">
        <v>48</v>
      </c>
      <c r="E99" s="20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31"/>
      <c r="AP99" s="39">
        <v>3</v>
      </c>
      <c r="AQ99" s="39"/>
      <c r="AR99" s="39"/>
    </row>
    <row r="100" spans="4:44" ht="37" customHeight="1" thickBot="1" x14ac:dyDescent="0.45">
      <c r="D100" s="22" t="s">
        <v>49</v>
      </c>
      <c r="E100" s="20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31"/>
      <c r="AP100" s="39">
        <v>2</v>
      </c>
      <c r="AQ100" s="39"/>
      <c r="AR100" s="39"/>
    </row>
    <row r="101" spans="4:44" ht="31.5" customHeight="1" thickBot="1" x14ac:dyDescent="0.45">
      <c r="D101" s="22" t="s">
        <v>50</v>
      </c>
      <c r="E101" s="20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31"/>
      <c r="AP101" s="39">
        <v>1</v>
      </c>
      <c r="AQ101" s="39"/>
      <c r="AR101" s="39"/>
    </row>
    <row r="102" spans="4:44" ht="32.15" customHeight="1" thickBot="1" x14ac:dyDescent="0.45">
      <c r="D102" s="22" t="s">
        <v>51</v>
      </c>
      <c r="E102" s="20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31"/>
      <c r="AP102" s="39">
        <v>1</v>
      </c>
      <c r="AQ102" s="39"/>
      <c r="AR102" s="39"/>
    </row>
    <row r="103" spans="4:44" ht="19" customHeight="1" thickBot="1" x14ac:dyDescent="0.45">
      <c r="D103" s="22" t="s">
        <v>52</v>
      </c>
      <c r="E103" s="20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31"/>
      <c r="AP103" s="39">
        <v>3</v>
      </c>
      <c r="AQ103" s="39"/>
      <c r="AR103" s="39"/>
    </row>
    <row r="104" spans="4:44" ht="30.65" customHeight="1" thickBot="1" x14ac:dyDescent="0.45">
      <c r="D104" s="22" t="s">
        <v>53</v>
      </c>
      <c r="E104" s="20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31"/>
      <c r="AP104" s="39">
        <v>2</v>
      </c>
      <c r="AQ104" s="39"/>
      <c r="AR104" s="39"/>
    </row>
    <row r="105" spans="4:44" ht="40.5" customHeight="1" thickBot="1" x14ac:dyDescent="0.45">
      <c r="D105" s="22" t="s">
        <v>54</v>
      </c>
      <c r="E105" s="20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31"/>
      <c r="AP105" s="39">
        <v>1</v>
      </c>
      <c r="AQ105" s="39"/>
      <c r="AR105" s="39"/>
    </row>
    <row r="106" spans="4:44" ht="35.15" customHeight="1" thickBot="1" x14ac:dyDescent="0.45">
      <c r="D106" s="22" t="s">
        <v>55</v>
      </c>
      <c r="E106" s="20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31"/>
      <c r="AP106" s="39">
        <v>1</v>
      </c>
      <c r="AQ106" s="39"/>
      <c r="AR106" s="39"/>
    </row>
    <row r="107" spans="4:44" ht="36" customHeight="1" thickBot="1" x14ac:dyDescent="0.45">
      <c r="D107" s="22" t="s">
        <v>56</v>
      </c>
      <c r="E107" s="20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31"/>
      <c r="AP107" s="39">
        <v>2</v>
      </c>
      <c r="AQ107" s="39"/>
      <c r="AR107" s="39"/>
    </row>
    <row r="108" spans="4:44" ht="19" customHeight="1" thickBot="1" x14ac:dyDescent="0.45">
      <c r="D108" s="22" t="s">
        <v>57</v>
      </c>
      <c r="E108" s="20"/>
      <c r="F108" s="8"/>
      <c r="G108" s="8"/>
      <c r="H108" s="46" t="s">
        <v>61</v>
      </c>
      <c r="I108" s="47"/>
      <c r="J108" s="47"/>
      <c r="K108" s="47"/>
      <c r="L108" s="47"/>
      <c r="M108" s="47"/>
      <c r="N108" s="47"/>
      <c r="O108" s="4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31"/>
      <c r="AP108" s="39">
        <v>2</v>
      </c>
      <c r="AQ108" s="39"/>
      <c r="AR108" s="39"/>
    </row>
    <row r="109" spans="4:44" ht="19" customHeight="1" x14ac:dyDescent="0.4">
      <c r="D109" s="8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30"/>
      <c r="AQ109" s="30"/>
      <c r="AR109" s="30"/>
    </row>
    <row r="110" spans="4:44" ht="19" customHeight="1" x14ac:dyDescent="0.4">
      <c r="D110" s="9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30"/>
      <c r="AQ110" s="30"/>
      <c r="AR110" s="30"/>
    </row>
    <row r="111" spans="4:44" ht="19" customHeight="1" x14ac:dyDescent="0.4">
      <c r="D111" s="9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30"/>
      <c r="AQ111" s="30"/>
      <c r="AR111" s="30"/>
    </row>
    <row r="112" spans="4:44" ht="12" customHeight="1" x14ac:dyDescent="0.4"/>
    <row r="113" spans="4:44" s="10" customFormat="1" ht="19" customHeight="1" x14ac:dyDescent="0.4">
      <c r="D113" s="41">
        <f>DATE(CalendarYear,3,1)</f>
        <v>46082</v>
      </c>
      <c r="E113" s="16">
        <f>IF(DAY(MarSun1)=1,"",IF(AND(YEAR(MarSun1+1)=CalendarYear,MONTH(MarSun1+1)=3),MarSun1+1,""))</f>
        <v>46082</v>
      </c>
      <c r="F113" s="16">
        <f>IF(DAY(MarSun1)=1,"",IF(AND(YEAR(MarSun1+2)=CalendarYear,MONTH(MarSun1+2)=3),MarSun1+2,""))</f>
        <v>46083</v>
      </c>
      <c r="G113" s="16">
        <f>IF(DAY(MarSun1)=1,"",IF(AND(YEAR(MarSun1+3)=CalendarYear,MONTH(MarSun1+3)=3),MarSun1+3,""))</f>
        <v>46084</v>
      </c>
      <c r="H113" s="16">
        <f>IF(DAY(MarSun1)=1,"",IF(AND(YEAR(MarSun1+4)=CalendarYear,MONTH(MarSun1+4)=3),MarSun1+4,""))</f>
        <v>46085</v>
      </c>
      <c r="I113" s="16">
        <f>IF(DAY(MarSun1)=1,"",IF(AND(YEAR(MarSun1+5)=CalendarYear,MONTH(MarSun1+5)=3),MarSun1+5,""))</f>
        <v>46086</v>
      </c>
      <c r="J113" s="16">
        <f>IF(DAY(MarSun1)=1,"",IF(AND(YEAR(MarSun1+6)=CalendarYear,MONTH(MarSun1+6)=3),MarSun1+6,""))</f>
        <v>46087</v>
      </c>
      <c r="K113" s="16">
        <f>IF(DAY(MarSun1)=1,IF(AND(YEAR(MarSun1)=CalendarYear,MONTH(MarSun1)=3),MarSun1,""),IF(AND(YEAR(MarSun1+7)=CalendarYear,MONTH(MarSun1+7)=3),MarSun1+7,""))</f>
        <v>46088</v>
      </c>
      <c r="L113" s="16">
        <f>IF(DAY(MarSun1)=1,IF(AND(YEAR(MarSun1+1)=CalendarYear,MONTH(MarSun1+1)=3),MarSun1+1,""),IF(AND(YEAR(MarSun1+8)=CalendarYear,MONTH(MarSun1+8)=3),MarSun1+8,""))</f>
        <v>46089</v>
      </c>
      <c r="M113" s="16">
        <f>IF(DAY(MarSun1)=1,IF(AND(YEAR(MarSun1+2)=CalendarYear,MONTH(MarSun1+2)=3),MarSun1+2,""),IF(AND(YEAR(MarSun1+9)=CalendarYear,MONTH(MarSun1+9)=3),MarSun1+9,""))</f>
        <v>46090</v>
      </c>
      <c r="N113" s="16">
        <f>IF(DAY(MarSun1)=1,IF(AND(YEAR(MarSun1+3)=CalendarYear,MONTH(MarSun1+3)=3),MarSun1+3,""),IF(AND(YEAR(MarSun1+10)=CalendarYear,MONTH(MarSun1+10)=3),MarSun1+10,""))</f>
        <v>46091</v>
      </c>
      <c r="O113" s="16">
        <f>IF(DAY(MarSun1)=1,IF(AND(YEAR(MarSun1+4)=CalendarYear,MONTH(MarSun1+4)=3),MarSun1+4,""),IF(AND(YEAR(MarSun1+11)=CalendarYear,MONTH(MarSun1+11)=3),MarSun1+11,""))</f>
        <v>46092</v>
      </c>
      <c r="P113" s="16">
        <f>IF(DAY(MarSun1)=1,IF(AND(YEAR(MarSun1+5)=CalendarYear,MONTH(MarSun1+5)=3),MarSun1+5,""),IF(AND(YEAR(MarSun1+12)=CalendarYear,MONTH(MarSun1+12)=3),MarSun1+12,""))</f>
        <v>46093</v>
      </c>
      <c r="Q113" s="16">
        <f>IF(DAY(MarSun1)=1,IF(AND(YEAR(MarSun1+6)=CalendarYear,MONTH(MarSun1+6)=3),MarSun1+6,""),IF(AND(YEAR(MarSun1+13)=CalendarYear,MONTH(MarSun1+13)=3),MarSun1+13,""))</f>
        <v>46094</v>
      </c>
      <c r="R113" s="16">
        <f>IF(DAY(MarSun1)=1,IF(AND(YEAR(MarSun1+7)=CalendarYear,MONTH(MarSun1+7)=3),MarSun1+7,""),IF(AND(YEAR(MarSun1+14)=CalendarYear,MONTH(MarSun1+14)=3),MarSun1+14,""))</f>
        <v>46095</v>
      </c>
      <c r="S113" s="16">
        <f>IF(DAY(MarSun1)=1,IF(AND(YEAR(MarSun1+8)=CalendarYear,MONTH(MarSun1+8)=3),MarSun1+8,""),IF(AND(YEAR(MarSun1+15)=CalendarYear,MONTH(MarSun1+15)=3),MarSun1+15,""))</f>
        <v>46096</v>
      </c>
      <c r="T113" s="16">
        <f>IF(DAY(MarSun1)=1,IF(AND(YEAR(MarSun1+9)=CalendarYear,MONTH(MarSun1+9)=3),MarSun1+9,""),IF(AND(YEAR(MarSun1+16)=CalendarYear,MONTH(MarSun1+16)=3),MarSun1+16,""))</f>
        <v>46097</v>
      </c>
      <c r="U113" s="16">
        <f>IF(DAY(MarSun1)=1,IF(AND(YEAR(MarSun1+10)=CalendarYear,MONTH(MarSun1+10)=3),MarSun1+10,""),IF(AND(YEAR(MarSun1+17)=CalendarYear,MONTH(MarSun1+17)=3),MarSun1+17,""))</f>
        <v>46098</v>
      </c>
      <c r="V113" s="16">
        <f>IF(DAY(MarSun1)=1,IF(AND(YEAR(MarSun1+11)=CalendarYear,MONTH(MarSun1+11)=3),MarSun1+11,""),IF(AND(YEAR(MarSun1+18)=CalendarYear,MONTH(MarSun1+18)=3),MarSun1+18,""))</f>
        <v>46099</v>
      </c>
      <c r="W113" s="16">
        <f>IF(DAY(MarSun1)=1,IF(AND(YEAR(MarSun1+12)=CalendarYear,MONTH(MarSun1+12)=3),MarSun1+12,""),IF(AND(YEAR(MarSun1+19)=CalendarYear,MONTH(MarSun1+19)=3),MarSun1+19,""))</f>
        <v>46100</v>
      </c>
      <c r="X113" s="16">
        <f>IF(DAY(MarSun1)=1,IF(AND(YEAR(MarSun1+13)=CalendarYear,MONTH(MarSun1+13)=3),MarSun1+13,""),IF(AND(YEAR(MarSun1+20)=CalendarYear,MONTH(MarSun1+20)=3),MarSun1+20,""))</f>
        <v>46101</v>
      </c>
      <c r="Y113" s="16">
        <f>IF(DAY(MarSun1)=1,IF(AND(YEAR(MarSun1+14)=CalendarYear,MONTH(MarSun1+14)=3),MarSun1+14,""),IF(AND(YEAR(MarSun1+21)=CalendarYear,MONTH(MarSun1+21)=3),MarSun1+21,""))</f>
        <v>46102</v>
      </c>
      <c r="Z113" s="16">
        <f>IF(DAY(MarSun1)=1,IF(AND(YEAR(MarSun1+15)=CalendarYear,MONTH(MarSun1+15)=3),MarSun1+15,""),IF(AND(YEAR(MarSun1+22)=CalendarYear,MONTH(MarSun1+22)=3),MarSun1+22,""))</f>
        <v>46103</v>
      </c>
      <c r="AA113" s="16">
        <f>IF(DAY(MarSun1)=1,IF(AND(YEAR(MarSun1+16)=CalendarYear,MONTH(MarSun1+16)=3),MarSun1+16,""),IF(AND(YEAR(MarSun1+23)=CalendarYear,MONTH(MarSun1+23)=3),MarSun1+23,""))</f>
        <v>46104</v>
      </c>
      <c r="AB113" s="16">
        <f>IF(DAY(MarSun1)=1,IF(AND(YEAR(MarSun1+17)=CalendarYear,MONTH(MarSun1+17)=3),MarSun1+17,""),IF(AND(YEAR(MarSun1+24)=CalendarYear,MONTH(MarSun1+24)=3),MarSun1+24,""))</f>
        <v>46105</v>
      </c>
      <c r="AC113" s="16">
        <f>IF(DAY(MarSun1)=1,IF(AND(YEAR(MarSun1+18)=CalendarYear,MONTH(MarSun1+18)=3),MarSun1+18,""),IF(AND(YEAR(MarSun1+25)=CalendarYear,MONTH(MarSun1+25)=3),MarSun1+25,""))</f>
        <v>46106</v>
      </c>
      <c r="AD113" s="16">
        <f>IF(DAY(MarSun1)=1,IF(AND(YEAR(MarSun1+19)=CalendarYear,MONTH(MarSun1+19)=3),MarSun1+19,""),IF(AND(YEAR(MarSun1+26)=CalendarYear,MONTH(MarSun1+26)=3),MarSun1+26,""))</f>
        <v>46107</v>
      </c>
      <c r="AE113" s="16">
        <f>IF(DAY(MarSun1)=1,IF(AND(YEAR(MarSun1+20)=CalendarYear,MONTH(MarSun1+20)=3),MarSun1+20,""),IF(AND(YEAR(MarSun1+27)=CalendarYear,MONTH(MarSun1+27)=3),MarSun1+27,""))</f>
        <v>46108</v>
      </c>
      <c r="AF113" s="16">
        <f>IF(DAY(MarSun1)=1,IF(AND(YEAR(MarSun1+21)=CalendarYear,MONTH(MarSun1+21)=3),MarSun1+21,""),IF(AND(YEAR(MarSun1+28)=CalendarYear,MONTH(MarSun1+28)=3),MarSun1+28,""))</f>
        <v>46109</v>
      </c>
      <c r="AG113" s="16">
        <f>IF(DAY(MarSun1)=1,IF(AND(YEAR(MarSun1+22)=CalendarYear,MONTH(MarSun1+22)=3),MarSun1+22,""),IF(AND(YEAR(MarSun1+29)=CalendarYear,MONTH(MarSun1+29)=3),MarSun1+29,""))</f>
        <v>46110</v>
      </c>
      <c r="AH113" s="16">
        <f>IF(DAY(MarSun1)=1,IF(AND(YEAR(MarSun1+23)=CalendarYear,MONTH(MarSun1+23)=3),MarSun1+23,""),IF(AND(YEAR(MarSun1+30)=CalendarYear,MONTH(MarSun1+30)=3),MarSun1+30,""))</f>
        <v>46111</v>
      </c>
      <c r="AI113" s="16">
        <f>IF(DAY(MarSun1)=1,IF(AND(YEAR(MarSun1+24)=CalendarYear,MONTH(MarSun1+24)=3),MarSun1+24,""),IF(AND(YEAR(MarSun1+31)=CalendarYear,MONTH(MarSun1+31)=3),MarSun1+31,""))</f>
        <v>46112</v>
      </c>
      <c r="AJ113" s="16" t="str">
        <f>IF(DAY(MarSun1)=1,IF(AND(YEAR(MarSun1+25)=CalendarYear,MONTH(MarSun1+25)=3),MarSun1+25,""),IF(AND(YEAR(MarSun1+32)=CalendarYear,MONTH(MarSun1+32)=3),MarSun1+32,""))</f>
        <v/>
      </c>
      <c r="AK113" s="16" t="str">
        <f>IF(DAY(MarSun1)=1,IF(AND(YEAR(MarSun1+26)=CalendarYear,MONTH(MarSun1+26)=3),MarSun1+26,""),IF(AND(YEAR(MarSun1+33)=CalendarYear,MONTH(MarSun1+33)=3),MarSun1+33,""))</f>
        <v/>
      </c>
      <c r="AL113" s="16" t="str">
        <f>IF(DAY(MarSun1)=1,IF(AND(YEAR(MarSun1+27)=CalendarYear,MONTH(MarSun1+27)=3),MarSun1+27,""),IF(AND(YEAR(MarSun1+34)=CalendarYear,MONTH(MarSun1+34)=3),MarSun1+34,""))</f>
        <v/>
      </c>
      <c r="AM113" s="16" t="str">
        <f>IF(DAY(MarSun1)=1,IF(AND(YEAR(MarSun1+28)=CalendarYear,MONTH(MarSun1+28)=3),MarSun1+28,""),IF(AND(YEAR(MarSun1+35)=CalendarYear,MONTH(MarSun1+35)=3),MarSun1+35,""))</f>
        <v/>
      </c>
      <c r="AN113" s="16" t="str">
        <f>IF(DAY(MarSun1)=1,IF(AND(YEAR(MarSun1+29)=CalendarYear,MONTH(MarSun1+29)=3),MarSun1+29,""),IF(AND(YEAR(MarSun1+36)=CalendarYear,MONTH(MarSun1+36)=3),MarSun1+36,""))</f>
        <v/>
      </c>
      <c r="AO113" s="17" t="str">
        <f>IF(DAY(MarSun1)=1,IF(AND(YEAR(MarSun1+30)=CalendarYear,MONTH(MarSun1+30)=3),MarSun1+30,""),IF(AND(YEAR(MarSun1+37)=CalendarYear,MONTH(MarSun1+37)=3),MarSun1+37,""))</f>
        <v/>
      </c>
      <c r="AP113" s="29"/>
      <c r="AQ113" s="29"/>
      <c r="AR113" s="29"/>
    </row>
    <row r="114" spans="4:44" s="10" customFormat="1" ht="19" customHeight="1" thickBot="1" x14ac:dyDescent="0.45">
      <c r="D114" s="43"/>
      <c r="E114" s="18" t="s">
        <v>2</v>
      </c>
      <c r="F114" s="18" t="s">
        <v>3</v>
      </c>
      <c r="G114" s="18" t="s">
        <v>4</v>
      </c>
      <c r="H114" s="18" t="s">
        <v>5</v>
      </c>
      <c r="I114" s="18" t="s">
        <v>6</v>
      </c>
      <c r="J114" s="18" t="s">
        <v>7</v>
      </c>
      <c r="K114" s="18" t="s">
        <v>8</v>
      </c>
      <c r="L114" s="18" t="s">
        <v>2</v>
      </c>
      <c r="M114" s="18" t="s">
        <v>3</v>
      </c>
      <c r="N114" s="18" t="s">
        <v>4</v>
      </c>
      <c r="O114" s="18" t="s">
        <v>5</v>
      </c>
      <c r="P114" s="18" t="s">
        <v>6</v>
      </c>
      <c r="Q114" s="18" t="s">
        <v>7</v>
      </c>
      <c r="R114" s="18" t="s">
        <v>8</v>
      </c>
      <c r="S114" s="18" t="s">
        <v>2</v>
      </c>
      <c r="T114" s="18" t="s">
        <v>3</v>
      </c>
      <c r="U114" s="18" t="s">
        <v>4</v>
      </c>
      <c r="V114" s="18" t="s">
        <v>5</v>
      </c>
      <c r="W114" s="18" t="s">
        <v>6</v>
      </c>
      <c r="X114" s="18" t="s">
        <v>7</v>
      </c>
      <c r="Y114" s="18" t="s">
        <v>8</v>
      </c>
      <c r="Z114" s="18" t="s">
        <v>2</v>
      </c>
      <c r="AA114" s="18" t="s">
        <v>3</v>
      </c>
      <c r="AB114" s="18" t="s">
        <v>4</v>
      </c>
      <c r="AC114" s="18" t="s">
        <v>5</v>
      </c>
      <c r="AD114" s="18" t="s">
        <v>6</v>
      </c>
      <c r="AE114" s="18" t="s">
        <v>7</v>
      </c>
      <c r="AF114" s="18" t="s">
        <v>8</v>
      </c>
      <c r="AG114" s="18" t="s">
        <v>2</v>
      </c>
      <c r="AH114" s="18" t="s">
        <v>3</v>
      </c>
      <c r="AI114" s="18" t="s">
        <v>4</v>
      </c>
      <c r="AJ114" s="18" t="s">
        <v>5</v>
      </c>
      <c r="AK114" s="18" t="s">
        <v>6</v>
      </c>
      <c r="AL114" s="18" t="s">
        <v>7</v>
      </c>
      <c r="AM114" s="18" t="s">
        <v>8</v>
      </c>
      <c r="AN114" s="18" t="s">
        <v>2</v>
      </c>
      <c r="AO114" s="19" t="s">
        <v>3</v>
      </c>
      <c r="AP114" s="23"/>
      <c r="AQ114" s="23"/>
      <c r="AR114" s="23"/>
    </row>
    <row r="115" spans="4:44" ht="19" customHeight="1" thickBot="1" x14ac:dyDescent="0.45">
      <c r="D115" s="21" t="s">
        <v>10</v>
      </c>
      <c r="E115" s="20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31"/>
      <c r="AP115" s="39">
        <v>2</v>
      </c>
      <c r="AQ115" s="39"/>
      <c r="AR115" s="39"/>
    </row>
    <row r="116" spans="4:44" ht="19" customHeight="1" thickBot="1" x14ac:dyDescent="0.45">
      <c r="D116" s="22" t="s">
        <v>11</v>
      </c>
      <c r="E116" s="20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31"/>
      <c r="AP116" s="39">
        <v>32</v>
      </c>
      <c r="AQ116" s="39"/>
      <c r="AR116" s="39"/>
    </row>
    <row r="117" spans="4:44" ht="19" customHeight="1" thickBot="1" x14ac:dyDescent="0.45">
      <c r="D117" s="22" t="s">
        <v>12</v>
      </c>
      <c r="E117" s="20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31"/>
      <c r="AP117" s="39">
        <v>61</v>
      </c>
      <c r="AQ117" s="39"/>
      <c r="AR117" s="39"/>
    </row>
    <row r="118" spans="4:44" ht="19" customHeight="1" thickBot="1" x14ac:dyDescent="0.45">
      <c r="D118" s="22" t="s">
        <v>13</v>
      </c>
      <c r="E118" s="20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31"/>
      <c r="AP118" s="39">
        <v>7</v>
      </c>
      <c r="AQ118" s="39"/>
      <c r="AR118" s="39"/>
    </row>
    <row r="119" spans="4:44" ht="19" customHeight="1" thickBot="1" x14ac:dyDescent="0.45">
      <c r="D119" s="22" t="s">
        <v>14</v>
      </c>
      <c r="E119" s="20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31"/>
      <c r="AP119" s="39">
        <v>7</v>
      </c>
      <c r="AQ119" s="39"/>
      <c r="AR119" s="39"/>
    </row>
    <row r="120" spans="4:44" ht="19" customHeight="1" thickBot="1" x14ac:dyDescent="0.45">
      <c r="D120" s="22" t="s">
        <v>15</v>
      </c>
      <c r="E120" s="20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31"/>
      <c r="AP120" s="39">
        <v>10</v>
      </c>
      <c r="AQ120" s="39"/>
      <c r="AR120" s="39"/>
    </row>
    <row r="121" spans="4:44" ht="19" customHeight="1" thickBot="1" x14ac:dyDescent="0.45">
      <c r="D121" s="22" t="s">
        <v>16</v>
      </c>
      <c r="E121" s="20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31"/>
      <c r="AP121" s="39">
        <v>2</v>
      </c>
      <c r="AQ121" s="39"/>
      <c r="AR121" s="39"/>
    </row>
    <row r="122" spans="4:44" ht="19" customHeight="1" thickBot="1" x14ac:dyDescent="0.45">
      <c r="D122" s="22" t="s">
        <v>17</v>
      </c>
      <c r="E122" s="20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31"/>
      <c r="AP122" s="39">
        <v>4</v>
      </c>
      <c r="AQ122" s="39"/>
      <c r="AR122" s="39"/>
    </row>
    <row r="123" spans="4:44" ht="19" customHeight="1" thickBot="1" x14ac:dyDescent="0.45">
      <c r="D123" s="22" t="s">
        <v>18</v>
      </c>
      <c r="E123" s="20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31"/>
      <c r="AP123" s="39">
        <v>2</v>
      </c>
      <c r="AQ123" s="39"/>
      <c r="AR123" s="39"/>
    </row>
    <row r="124" spans="4:44" ht="19" customHeight="1" thickBot="1" x14ac:dyDescent="0.45">
      <c r="D124" s="22" t="s">
        <v>19</v>
      </c>
      <c r="E124" s="20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31"/>
      <c r="AP124" s="39">
        <v>6</v>
      </c>
      <c r="AQ124" s="39"/>
      <c r="AR124" s="39"/>
    </row>
    <row r="125" spans="4:44" ht="19" customHeight="1" thickBot="1" x14ac:dyDescent="0.45">
      <c r="D125" s="22" t="s">
        <v>20</v>
      </c>
      <c r="E125" s="20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31"/>
      <c r="AP125" s="39">
        <v>13</v>
      </c>
      <c r="AQ125" s="39"/>
      <c r="AR125" s="39"/>
    </row>
    <row r="126" spans="4:44" ht="19" customHeight="1" thickBot="1" x14ac:dyDescent="0.45">
      <c r="D126" s="22" t="s">
        <v>21</v>
      </c>
      <c r="E126" s="20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31"/>
      <c r="AP126" s="39">
        <v>1</v>
      </c>
      <c r="AQ126" s="39"/>
      <c r="AR126" s="39"/>
    </row>
    <row r="127" spans="4:44" ht="19" customHeight="1" thickBot="1" x14ac:dyDescent="0.45">
      <c r="D127" s="22" t="s">
        <v>22</v>
      </c>
      <c r="E127" s="20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31"/>
      <c r="AP127" s="39">
        <v>6</v>
      </c>
      <c r="AQ127" s="39"/>
      <c r="AR127" s="39"/>
    </row>
    <row r="128" spans="4:44" ht="19" customHeight="1" thickBot="1" x14ac:dyDescent="0.45"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</row>
    <row r="129" spans="4:44" ht="19" customHeight="1" thickBot="1" x14ac:dyDescent="0.45">
      <c r="D129" s="21" t="s">
        <v>23</v>
      </c>
      <c r="E129" s="20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31"/>
      <c r="AP129" s="39" t="s">
        <v>24</v>
      </c>
      <c r="AQ129" s="39"/>
      <c r="AR129" s="39"/>
    </row>
    <row r="130" spans="4:44" ht="19" customHeight="1" thickBot="1" x14ac:dyDescent="0.45">
      <c r="D130" s="22" t="s">
        <v>25</v>
      </c>
      <c r="E130" s="20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31"/>
      <c r="AP130" s="39" t="s">
        <v>26</v>
      </c>
      <c r="AQ130" s="39"/>
      <c r="AR130" s="39"/>
    </row>
    <row r="131" spans="4:44" ht="19" customHeight="1" thickBot="1" x14ac:dyDescent="0.45">
      <c r="D131" s="22" t="s">
        <v>27</v>
      </c>
      <c r="E131" s="20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31"/>
      <c r="AP131" s="39" t="s">
        <v>28</v>
      </c>
      <c r="AQ131" s="39"/>
      <c r="AR131" s="39"/>
    </row>
    <row r="132" spans="4:44" ht="19" customHeight="1" thickBot="1" x14ac:dyDescent="0.45">
      <c r="D132" s="22" t="s">
        <v>29</v>
      </c>
      <c r="E132" s="20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31"/>
      <c r="AP132" s="39">
        <v>34</v>
      </c>
      <c r="AQ132" s="39"/>
      <c r="AR132" s="39"/>
    </row>
    <row r="133" spans="4:44" ht="19" customHeight="1" thickBot="1" x14ac:dyDescent="0.45">
      <c r="D133" s="22" t="s">
        <v>30</v>
      </c>
      <c r="E133" s="20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31"/>
      <c r="AP133" s="39">
        <v>13</v>
      </c>
      <c r="AQ133" s="39"/>
      <c r="AR133" s="39"/>
    </row>
    <row r="134" spans="4:44" ht="19" customHeight="1" thickBot="1" x14ac:dyDescent="0.45">
      <c r="D134" s="22" t="s">
        <v>31</v>
      </c>
      <c r="E134" s="20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31"/>
      <c r="AP134" s="39">
        <v>16</v>
      </c>
      <c r="AQ134" s="39"/>
      <c r="AR134" s="39"/>
    </row>
    <row r="135" spans="4:44" ht="19" customHeight="1" thickBot="1" x14ac:dyDescent="0.45">
      <c r="D135" s="22" t="s">
        <v>32</v>
      </c>
      <c r="E135" s="20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31"/>
      <c r="AP135" s="39">
        <v>15</v>
      </c>
      <c r="AQ135" s="39"/>
      <c r="AR135" s="39"/>
    </row>
    <row r="136" spans="4:44" ht="19" customHeight="1" thickBot="1" x14ac:dyDescent="0.45"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32"/>
      <c r="AP136" s="26"/>
      <c r="AQ136" s="26"/>
      <c r="AR136" s="26"/>
    </row>
    <row r="137" spans="4:44" ht="19" customHeight="1" thickBot="1" x14ac:dyDescent="0.45">
      <c r="D137" s="21" t="s">
        <v>33</v>
      </c>
      <c r="E137" s="20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31"/>
      <c r="AP137" s="39">
        <v>3</v>
      </c>
      <c r="AQ137" s="39"/>
      <c r="AR137" s="39"/>
    </row>
    <row r="138" spans="4:44" ht="19" customHeight="1" thickBot="1" x14ac:dyDescent="0.45">
      <c r="D138" s="22" t="s">
        <v>34</v>
      </c>
      <c r="E138" s="20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31"/>
      <c r="AP138" s="39">
        <v>7</v>
      </c>
      <c r="AQ138" s="39"/>
      <c r="AR138" s="39"/>
    </row>
    <row r="139" spans="4:44" ht="19" customHeight="1" thickBot="1" x14ac:dyDescent="0.45">
      <c r="D139" s="22" t="s">
        <v>35</v>
      </c>
      <c r="E139" s="20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31"/>
      <c r="AP139" s="39">
        <v>2</v>
      </c>
      <c r="AQ139" s="39"/>
      <c r="AR139" s="39"/>
    </row>
    <row r="140" spans="4:44" ht="19" customHeight="1" thickBot="1" x14ac:dyDescent="0.45">
      <c r="D140" s="22" t="s">
        <v>36</v>
      </c>
      <c r="E140" s="20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31"/>
      <c r="AP140" s="39">
        <v>4</v>
      </c>
      <c r="AQ140" s="39"/>
      <c r="AR140" s="39"/>
    </row>
    <row r="141" spans="4:44" ht="19" customHeight="1" thickBot="1" x14ac:dyDescent="0.45">
      <c r="D141" s="22" t="s">
        <v>37</v>
      </c>
      <c r="E141" s="20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31"/>
      <c r="AP141" s="39">
        <v>2</v>
      </c>
      <c r="AQ141" s="39"/>
      <c r="AR141" s="39"/>
    </row>
    <row r="142" spans="4:44" ht="19" customHeight="1" thickBot="1" x14ac:dyDescent="0.45">
      <c r="D142" s="22" t="s">
        <v>38</v>
      </c>
      <c r="E142" s="20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31"/>
      <c r="AP142" s="39">
        <v>8</v>
      </c>
      <c r="AQ142" s="39"/>
      <c r="AR142" s="39"/>
    </row>
    <row r="143" spans="4:44" ht="19" customHeight="1" thickBot="1" x14ac:dyDescent="0.45"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33"/>
      <c r="AP143" s="34"/>
      <c r="AQ143" s="34"/>
      <c r="AR143" s="34"/>
    </row>
    <row r="144" spans="4:44" ht="19" customHeight="1" thickBot="1" x14ac:dyDescent="0.45">
      <c r="D144" s="21" t="s">
        <v>39</v>
      </c>
      <c r="E144" s="20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31"/>
      <c r="AP144" s="39">
        <v>3</v>
      </c>
      <c r="AQ144" s="39"/>
      <c r="AR144" s="39"/>
    </row>
    <row r="145" spans="4:44" ht="19" customHeight="1" thickBot="1" x14ac:dyDescent="0.45">
      <c r="D145" s="22" t="s">
        <v>40</v>
      </c>
      <c r="E145" s="20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31"/>
      <c r="AP145" s="39">
        <v>3</v>
      </c>
      <c r="AQ145" s="39"/>
      <c r="AR145" s="39"/>
    </row>
    <row r="146" spans="4:44" ht="19" customHeight="1" thickBot="1" x14ac:dyDescent="0.45">
      <c r="D146" s="22" t="s">
        <v>41</v>
      </c>
      <c r="E146" s="20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31"/>
      <c r="AP146" s="39">
        <v>2</v>
      </c>
      <c r="AQ146" s="39"/>
      <c r="AR146" s="39"/>
    </row>
    <row r="147" spans="4:44" ht="19" customHeight="1" thickBot="1" x14ac:dyDescent="0.45">
      <c r="D147" s="22" t="s">
        <v>42</v>
      </c>
      <c r="E147" s="20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31"/>
      <c r="AP147" s="39">
        <v>2</v>
      </c>
      <c r="AQ147" s="39"/>
      <c r="AR147" s="39"/>
    </row>
    <row r="148" spans="4:44" ht="19" customHeight="1" thickBot="1" x14ac:dyDescent="0.45"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32"/>
      <c r="AP148" s="26"/>
      <c r="AQ148" s="26"/>
      <c r="AR148" s="26"/>
    </row>
    <row r="149" spans="4:44" ht="19" customHeight="1" thickBot="1" x14ac:dyDescent="0.45">
      <c r="D149" s="21" t="s">
        <v>43</v>
      </c>
      <c r="E149" s="20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31"/>
      <c r="AP149" s="39">
        <v>2</v>
      </c>
      <c r="AQ149" s="39"/>
      <c r="AR149" s="39"/>
    </row>
    <row r="150" spans="4:44" ht="19" customHeight="1" thickBot="1" x14ac:dyDescent="0.45">
      <c r="D150" s="22" t="s">
        <v>44</v>
      </c>
      <c r="E150" s="20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31"/>
      <c r="AP150" s="39">
        <v>2</v>
      </c>
      <c r="AQ150" s="39"/>
      <c r="AR150" s="39"/>
    </row>
    <row r="151" spans="4:44" ht="19" customHeight="1" thickBot="1" x14ac:dyDescent="0.45">
      <c r="D151" s="22" t="s">
        <v>45</v>
      </c>
      <c r="E151" s="20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31"/>
      <c r="AP151" s="39">
        <v>1</v>
      </c>
      <c r="AQ151" s="39"/>
      <c r="AR151" s="39"/>
    </row>
    <row r="152" spans="4:44" ht="19" customHeight="1" thickBot="1" x14ac:dyDescent="0.45">
      <c r="D152" s="22" t="s">
        <v>46</v>
      </c>
      <c r="E152" s="20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31"/>
      <c r="AP152" s="39">
        <v>2</v>
      </c>
      <c r="AQ152" s="39"/>
      <c r="AR152" s="39"/>
    </row>
    <row r="153" spans="4:44" ht="19" customHeight="1" thickBot="1" x14ac:dyDescent="0.45">
      <c r="D153" s="22" t="s">
        <v>47</v>
      </c>
      <c r="E153" s="20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31"/>
      <c r="AP153" s="39">
        <v>2</v>
      </c>
      <c r="AQ153" s="39"/>
      <c r="AR153" s="39"/>
    </row>
    <row r="154" spans="4:44" ht="19" customHeight="1" thickBot="1" x14ac:dyDescent="0.45">
      <c r="D154" s="22" t="s">
        <v>48</v>
      </c>
      <c r="E154" s="20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31"/>
      <c r="AP154" s="39">
        <v>3</v>
      </c>
      <c r="AQ154" s="39"/>
      <c r="AR154" s="39"/>
    </row>
    <row r="155" spans="4:44" ht="19" customHeight="1" thickBot="1" x14ac:dyDescent="0.45">
      <c r="D155" s="22" t="s">
        <v>49</v>
      </c>
      <c r="E155" s="20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31"/>
      <c r="AP155" s="39">
        <v>2</v>
      </c>
      <c r="AQ155" s="39"/>
      <c r="AR155" s="39"/>
    </row>
    <row r="156" spans="4:44" ht="19" customHeight="1" thickBot="1" x14ac:dyDescent="0.45">
      <c r="D156" s="22" t="s">
        <v>50</v>
      </c>
      <c r="E156" s="20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31"/>
      <c r="AP156" s="39">
        <v>1</v>
      </c>
      <c r="AQ156" s="39"/>
      <c r="AR156" s="39"/>
    </row>
    <row r="157" spans="4:44" ht="19" customHeight="1" thickBot="1" x14ac:dyDescent="0.45">
      <c r="D157" s="22" t="s">
        <v>51</v>
      </c>
      <c r="E157" s="20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31"/>
      <c r="AP157" s="39">
        <v>1</v>
      </c>
      <c r="AQ157" s="39"/>
      <c r="AR157" s="39"/>
    </row>
    <row r="158" spans="4:44" ht="19" customHeight="1" thickBot="1" x14ac:dyDescent="0.45">
      <c r="D158" s="22" t="s">
        <v>52</v>
      </c>
      <c r="E158" s="20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31"/>
      <c r="AP158" s="39">
        <v>3</v>
      </c>
      <c r="AQ158" s="39"/>
      <c r="AR158" s="39"/>
    </row>
    <row r="159" spans="4:44" ht="19" customHeight="1" thickBot="1" x14ac:dyDescent="0.45">
      <c r="D159" s="22" t="s">
        <v>53</v>
      </c>
      <c r="E159" s="20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31"/>
      <c r="AP159" s="39">
        <v>2</v>
      </c>
      <c r="AQ159" s="39"/>
      <c r="AR159" s="39"/>
    </row>
    <row r="160" spans="4:44" ht="19" customHeight="1" thickBot="1" x14ac:dyDescent="0.45">
      <c r="D160" s="22" t="s">
        <v>54</v>
      </c>
      <c r="E160" s="20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31"/>
      <c r="AP160" s="39">
        <v>1</v>
      </c>
      <c r="AQ160" s="39"/>
      <c r="AR160" s="39"/>
    </row>
    <row r="161" spans="4:44" ht="19" customHeight="1" thickBot="1" x14ac:dyDescent="0.45">
      <c r="D161" s="22" t="s">
        <v>55</v>
      </c>
      <c r="E161" s="20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31"/>
      <c r="AP161" s="39">
        <v>1</v>
      </c>
      <c r="AQ161" s="39"/>
      <c r="AR161" s="39"/>
    </row>
    <row r="162" spans="4:44" ht="19" customHeight="1" thickBot="1" x14ac:dyDescent="0.45">
      <c r="D162" s="22" t="s">
        <v>56</v>
      </c>
      <c r="E162" s="20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31"/>
      <c r="AP162" s="39">
        <v>2</v>
      </c>
      <c r="AQ162" s="39"/>
      <c r="AR162" s="39"/>
    </row>
    <row r="163" spans="4:44" ht="19" customHeight="1" thickBot="1" x14ac:dyDescent="0.45">
      <c r="D163" s="22" t="s">
        <v>57</v>
      </c>
      <c r="E163" s="20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31"/>
      <c r="AP163" s="39">
        <v>2</v>
      </c>
      <c r="AQ163" s="39"/>
      <c r="AR163" s="39"/>
    </row>
    <row r="164" spans="4:44" ht="19" customHeight="1" x14ac:dyDescent="0.4">
      <c r="D164" s="8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30"/>
      <c r="AQ164" s="30"/>
      <c r="AR164" s="30"/>
    </row>
    <row r="165" spans="4:44" ht="19" customHeight="1" x14ac:dyDescent="0.4">
      <c r="D165" s="8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30"/>
      <c r="AQ165" s="30"/>
      <c r="AR165" s="30"/>
    </row>
    <row r="166" spans="4:44" ht="19" customHeight="1" x14ac:dyDescent="0.4">
      <c r="D166" s="9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30"/>
      <c r="AQ166" s="30"/>
      <c r="AR166" s="30"/>
    </row>
    <row r="167" spans="4:44" ht="19" customHeight="1" x14ac:dyDescent="0.4">
      <c r="D167" s="9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30"/>
      <c r="AQ167" s="30"/>
      <c r="AR167" s="30"/>
    </row>
    <row r="168" spans="4:44" ht="12" customHeight="1" x14ac:dyDescent="0.4"/>
    <row r="169" spans="4:44" s="10" customFormat="1" ht="19" customHeight="1" x14ac:dyDescent="0.4">
      <c r="D169" s="41">
        <f>DATE(CalendarYear,4,1)</f>
        <v>46113</v>
      </c>
      <c r="E169" s="16" t="str">
        <f>IF(DAY(AprSun1)=1,"",IF(AND(YEAR(AprSun1+1)=CalendarYear,MONTH(AprSun1+1)=4),AprSun1+1,""))</f>
        <v/>
      </c>
      <c r="F169" s="16" t="str">
        <f>IF(DAY(AprSun1)=1,"",IF(AND(YEAR(AprSun1+2)=CalendarYear,MONTH(AprSun1+2)=4),AprSun1+2,""))</f>
        <v/>
      </c>
      <c r="G169" s="16" t="str">
        <f>IF(DAY(AprSun1)=1,"",IF(AND(YEAR(AprSun1+3)=CalendarYear,MONTH(AprSun1+3)=4),AprSun1+3,""))</f>
        <v/>
      </c>
      <c r="H169" s="16">
        <f>IF(DAY(AprSun1)=1,"",IF(AND(YEAR(AprSun1+4)=CalendarYear,MONTH(AprSun1+4)=4),AprSun1+4,""))</f>
        <v>46113</v>
      </c>
      <c r="I169" s="16">
        <f>IF(DAY(AprSun1)=1,"",IF(AND(YEAR(AprSun1+5)=CalendarYear,MONTH(AprSun1+5)=4),AprSun1+5,""))</f>
        <v>46114</v>
      </c>
      <c r="J169" s="16">
        <f>IF(DAY(AprSun1)=1,"",IF(AND(YEAR(AprSun1+6)=CalendarYear,MONTH(AprSun1+6)=4),AprSun1+6,""))</f>
        <v>46115</v>
      </c>
      <c r="K169" s="16">
        <f>IF(DAY(AprSun1)=1,IF(AND(YEAR(AprSun1)=CalendarYear,MONTH(AprSun1)=4),AprSun1,""),IF(AND(YEAR(AprSun1+7)=CalendarYear,MONTH(AprSun1+7)=4),AprSun1+7,""))</f>
        <v>46116</v>
      </c>
      <c r="L169" s="16">
        <f>IF(DAY(AprSun1)=1,IF(AND(YEAR(AprSun1+1)=CalendarYear,MONTH(AprSun1+1)=4),AprSun1+1,""),IF(AND(YEAR(AprSun1+8)=CalendarYear,MONTH(AprSun1+8)=4),AprSun1+8,""))</f>
        <v>46117</v>
      </c>
      <c r="M169" s="16">
        <f>IF(DAY(AprSun1)=1,IF(AND(YEAR(AprSun1+2)=CalendarYear,MONTH(AprSun1+2)=4),AprSun1+2,""),IF(AND(YEAR(AprSun1+9)=CalendarYear,MONTH(AprSun1+9)=4),AprSun1+9,""))</f>
        <v>46118</v>
      </c>
      <c r="N169" s="16">
        <f>IF(DAY(AprSun1)=1,IF(AND(YEAR(AprSun1+3)=CalendarYear,MONTH(AprSun1+3)=4),AprSun1+3,""),IF(AND(YEAR(AprSun1+10)=CalendarYear,MONTH(AprSun1+10)=4),AprSun1+10,""))</f>
        <v>46119</v>
      </c>
      <c r="O169" s="16">
        <f>IF(DAY(AprSun1)=1,IF(AND(YEAR(AprSun1+4)=CalendarYear,MONTH(AprSun1+4)=4),AprSun1+4,""),IF(AND(YEAR(AprSun1+11)=CalendarYear,MONTH(AprSun1+11)=4),AprSun1+11,""))</f>
        <v>46120</v>
      </c>
      <c r="P169" s="16">
        <f>IF(DAY(AprSun1)=1,IF(AND(YEAR(AprSun1+5)=CalendarYear,MONTH(AprSun1+5)=4),AprSun1+5,""),IF(AND(YEAR(AprSun1+12)=CalendarYear,MONTH(AprSun1+12)=4),AprSun1+12,""))</f>
        <v>46121</v>
      </c>
      <c r="Q169" s="16">
        <f>IF(DAY(AprSun1)=1,IF(AND(YEAR(AprSun1+6)=CalendarYear,MONTH(AprSun1+6)=4),AprSun1+6,""),IF(AND(YEAR(AprSun1+13)=CalendarYear,MONTH(AprSun1+13)=4),AprSun1+13,""))</f>
        <v>46122</v>
      </c>
      <c r="R169" s="16">
        <f>IF(DAY(AprSun1)=1,IF(AND(YEAR(AprSun1+7)=CalendarYear,MONTH(AprSun1+7)=4),AprSun1+7,""),IF(AND(YEAR(AprSun1+14)=CalendarYear,MONTH(AprSun1+14)=4),AprSun1+14,""))</f>
        <v>46123</v>
      </c>
      <c r="S169" s="16">
        <f>IF(DAY(AprSun1)=1,IF(AND(YEAR(AprSun1+8)=CalendarYear,MONTH(AprSun1+8)=4),AprSun1+8,""),IF(AND(YEAR(AprSun1+15)=CalendarYear,MONTH(AprSun1+15)=4),AprSun1+15,""))</f>
        <v>46124</v>
      </c>
      <c r="T169" s="16">
        <f>IF(DAY(AprSun1)=1,IF(AND(YEAR(AprSun1+9)=CalendarYear,MONTH(AprSun1+9)=4),AprSun1+9,""),IF(AND(YEAR(AprSun1+16)=CalendarYear,MONTH(AprSun1+16)=4),AprSun1+16,""))</f>
        <v>46125</v>
      </c>
      <c r="U169" s="16">
        <f>IF(DAY(AprSun1)=1,IF(AND(YEAR(AprSun1+10)=CalendarYear,MONTH(AprSun1+10)=4),AprSun1+10,""),IF(AND(YEAR(AprSun1+17)=CalendarYear,MONTH(AprSun1+17)=4),AprSun1+17,""))</f>
        <v>46126</v>
      </c>
      <c r="V169" s="16">
        <f>IF(DAY(AprSun1)=1,IF(AND(YEAR(AprSun1+11)=CalendarYear,MONTH(AprSun1+11)=4),AprSun1+11,""),IF(AND(YEAR(AprSun1+18)=CalendarYear,MONTH(AprSun1+18)=4),AprSun1+18,""))</f>
        <v>46127</v>
      </c>
      <c r="W169" s="16">
        <f>IF(DAY(AprSun1)=1,IF(AND(YEAR(AprSun1+12)=CalendarYear,MONTH(AprSun1+12)=4),AprSun1+12,""),IF(AND(YEAR(AprSun1+19)=CalendarYear,MONTH(AprSun1+19)=4),AprSun1+19,""))</f>
        <v>46128</v>
      </c>
      <c r="X169" s="16">
        <f>IF(DAY(AprSun1)=1,IF(AND(YEAR(AprSun1+13)=CalendarYear,MONTH(AprSun1+13)=4),AprSun1+13,""),IF(AND(YEAR(AprSun1+20)=CalendarYear,MONTH(AprSun1+20)=4),AprSun1+20,""))</f>
        <v>46129</v>
      </c>
      <c r="Y169" s="16">
        <f>IF(DAY(AprSun1)=1,IF(AND(YEAR(AprSun1+14)=CalendarYear,MONTH(AprSun1+14)=4),AprSun1+14,""),IF(AND(YEAR(AprSun1+21)=CalendarYear,MONTH(AprSun1+21)=4),AprSun1+21,""))</f>
        <v>46130</v>
      </c>
      <c r="Z169" s="16">
        <f>IF(DAY(AprSun1)=1,IF(AND(YEAR(AprSun1+15)=CalendarYear,MONTH(AprSun1+15)=4),AprSun1+15,""),IF(AND(YEAR(AprSun1+22)=CalendarYear,MONTH(AprSun1+22)=4),AprSun1+22,""))</f>
        <v>46131</v>
      </c>
      <c r="AA169" s="16">
        <f>IF(DAY(AprSun1)=1,IF(AND(YEAR(AprSun1+16)=CalendarYear,MONTH(AprSun1+16)=4),AprSun1+16,""),IF(AND(YEAR(AprSun1+23)=CalendarYear,MONTH(AprSun1+23)=4),AprSun1+23,""))</f>
        <v>46132</v>
      </c>
      <c r="AB169" s="16">
        <f>IF(DAY(AprSun1)=1,IF(AND(YEAR(AprSun1+17)=CalendarYear,MONTH(AprSun1+17)=4),AprSun1+17,""),IF(AND(YEAR(AprSun1+24)=CalendarYear,MONTH(AprSun1+24)=4),AprSun1+24,""))</f>
        <v>46133</v>
      </c>
      <c r="AC169" s="16">
        <f>IF(DAY(AprSun1)=1,IF(AND(YEAR(AprSun1+18)=CalendarYear,MONTH(AprSun1+18)=4),AprSun1+18,""),IF(AND(YEAR(AprSun1+25)=CalendarYear,MONTH(AprSun1+25)=4),AprSun1+25,""))</f>
        <v>46134</v>
      </c>
      <c r="AD169" s="16">
        <f>IF(DAY(AprSun1)=1,IF(AND(YEAR(AprSun1+19)=CalendarYear,MONTH(AprSun1+19)=4),AprSun1+19,""),IF(AND(YEAR(AprSun1+26)=CalendarYear,MONTH(AprSun1+26)=4),AprSun1+26,""))</f>
        <v>46135</v>
      </c>
      <c r="AE169" s="16">
        <f>IF(DAY(AprSun1)=1,IF(AND(YEAR(AprSun1+20)=CalendarYear,MONTH(AprSun1+20)=4),AprSun1+20,""),IF(AND(YEAR(AprSun1+27)=CalendarYear,MONTH(AprSun1+27)=4),AprSun1+27,""))</f>
        <v>46136</v>
      </c>
      <c r="AF169" s="16">
        <f>IF(DAY(AprSun1)=1,IF(AND(YEAR(AprSun1+21)=CalendarYear,MONTH(AprSun1+21)=4),AprSun1+21,""),IF(AND(YEAR(AprSun1+28)=CalendarYear,MONTH(AprSun1+28)=4),AprSun1+28,""))</f>
        <v>46137</v>
      </c>
      <c r="AG169" s="16">
        <f>IF(DAY(AprSun1)=1,IF(AND(YEAR(AprSun1+22)=CalendarYear,MONTH(AprSun1+22)=4),AprSun1+22,""),IF(AND(YEAR(AprSun1+29)=CalendarYear,MONTH(AprSun1+29)=4),AprSun1+29,""))</f>
        <v>46138</v>
      </c>
      <c r="AH169" s="16">
        <f>IF(DAY(AprSun1)=1,IF(AND(YEAR(AprSun1+23)=CalendarYear,MONTH(AprSun1+23)=4),AprSun1+23,""),IF(AND(YEAR(AprSun1+30)=CalendarYear,MONTH(AprSun1+30)=4),AprSun1+30,""))</f>
        <v>46139</v>
      </c>
      <c r="AI169" s="16">
        <f>IF(DAY(AprSun1)=1,IF(AND(YEAR(AprSun1+24)=CalendarYear,MONTH(AprSun1+24)=4),AprSun1+24,""),IF(AND(YEAR(AprSun1+31)=CalendarYear,MONTH(AprSun1+31)=4),AprSun1+31,""))</f>
        <v>46140</v>
      </c>
      <c r="AJ169" s="16">
        <f>IF(DAY(AprSun1)=1,IF(AND(YEAR(AprSun1+25)=CalendarYear,MONTH(AprSun1+25)=4),AprSun1+25,""),IF(AND(YEAR(AprSun1+32)=CalendarYear,MONTH(AprSun1+32)=4),AprSun1+32,""))</f>
        <v>46141</v>
      </c>
      <c r="AK169" s="16">
        <f>IF(DAY(AprSun1)=1,IF(AND(YEAR(AprSun1+26)=CalendarYear,MONTH(AprSun1+26)=4),AprSun1+26,""),IF(AND(YEAR(AprSun1+33)=CalendarYear,MONTH(AprSun1+33)=4),AprSun1+33,""))</f>
        <v>46142</v>
      </c>
      <c r="AL169" s="16" t="str">
        <f>IF(DAY(AprSun1)=1,IF(AND(YEAR(AprSun1+27)=CalendarYear,MONTH(AprSun1+27)=4),AprSun1+27,""),IF(AND(YEAR(AprSun1+34)=CalendarYear,MONTH(AprSun1+34)=4),AprSun1+34,""))</f>
        <v/>
      </c>
      <c r="AM169" s="16" t="str">
        <f>IF(DAY(AprSun1)=1,IF(AND(YEAR(AprSun1+28)=CalendarYear,MONTH(AprSun1+28)=4),AprSun1+28,""),IF(AND(YEAR(AprSun1+35)=CalendarYear,MONTH(AprSun1+35)=4),AprSun1+35,""))</f>
        <v/>
      </c>
      <c r="AN169" s="16" t="str">
        <f>IF(DAY(AprSun1)=1,IF(AND(YEAR(AprSun1+29)=CalendarYear,MONTH(AprSun1+29)=4),AprSun1+29,""),IF(AND(YEAR(AprSun1+36)=CalendarYear,MONTH(AprSun1+36)=4),AprSun1+36,""))</f>
        <v/>
      </c>
      <c r="AO169" s="17" t="str">
        <f>IF(DAY(AprSun1)=1,IF(AND(YEAR(AprSun1+30)=CalendarYear,MONTH(AprSun1+30)=4),AprSun1+30,""),IF(AND(YEAR(AprSun1+37)=CalendarYear,MONTH(AprSun1+37)=4),AprSun1+37,""))</f>
        <v/>
      </c>
      <c r="AP169" s="29"/>
      <c r="AQ169" s="29"/>
      <c r="AR169" s="29"/>
    </row>
    <row r="170" spans="4:44" s="10" customFormat="1" ht="19" customHeight="1" thickBot="1" x14ac:dyDescent="0.45">
      <c r="D170" s="43"/>
      <c r="E170" s="18" t="s">
        <v>2</v>
      </c>
      <c r="F170" s="18" t="s">
        <v>3</v>
      </c>
      <c r="G170" s="18" t="s">
        <v>4</v>
      </c>
      <c r="H170" s="18" t="s">
        <v>5</v>
      </c>
      <c r="I170" s="18" t="s">
        <v>6</v>
      </c>
      <c r="J170" s="18" t="s">
        <v>7</v>
      </c>
      <c r="K170" s="18" t="s">
        <v>8</v>
      </c>
      <c r="L170" s="18" t="s">
        <v>2</v>
      </c>
      <c r="M170" s="18" t="s">
        <v>3</v>
      </c>
      <c r="N170" s="18" t="s">
        <v>4</v>
      </c>
      <c r="O170" s="18" t="s">
        <v>5</v>
      </c>
      <c r="P170" s="18" t="s">
        <v>6</v>
      </c>
      <c r="Q170" s="18" t="s">
        <v>7</v>
      </c>
      <c r="R170" s="18" t="s">
        <v>8</v>
      </c>
      <c r="S170" s="18" t="s">
        <v>2</v>
      </c>
      <c r="T170" s="18" t="s">
        <v>3</v>
      </c>
      <c r="U170" s="18" t="s">
        <v>4</v>
      </c>
      <c r="V170" s="18" t="s">
        <v>5</v>
      </c>
      <c r="W170" s="18" t="s">
        <v>6</v>
      </c>
      <c r="X170" s="18" t="s">
        <v>7</v>
      </c>
      <c r="Y170" s="18" t="s">
        <v>8</v>
      </c>
      <c r="Z170" s="18" t="s">
        <v>2</v>
      </c>
      <c r="AA170" s="18" t="s">
        <v>3</v>
      </c>
      <c r="AB170" s="18" t="s">
        <v>4</v>
      </c>
      <c r="AC170" s="18" t="s">
        <v>5</v>
      </c>
      <c r="AD170" s="18" t="s">
        <v>6</v>
      </c>
      <c r="AE170" s="18" t="s">
        <v>7</v>
      </c>
      <c r="AF170" s="18" t="s">
        <v>8</v>
      </c>
      <c r="AG170" s="18" t="s">
        <v>2</v>
      </c>
      <c r="AH170" s="18" t="s">
        <v>3</v>
      </c>
      <c r="AI170" s="18" t="s">
        <v>4</v>
      </c>
      <c r="AJ170" s="18" t="s">
        <v>5</v>
      </c>
      <c r="AK170" s="18" t="s">
        <v>6</v>
      </c>
      <c r="AL170" s="18" t="s">
        <v>7</v>
      </c>
      <c r="AM170" s="18" t="s">
        <v>8</v>
      </c>
      <c r="AN170" s="18" t="s">
        <v>2</v>
      </c>
      <c r="AO170" s="19" t="s">
        <v>3</v>
      </c>
      <c r="AP170" s="23"/>
      <c r="AQ170" s="23"/>
      <c r="AR170" s="23"/>
    </row>
    <row r="171" spans="4:44" ht="19" customHeight="1" thickBot="1" x14ac:dyDescent="0.45">
      <c r="D171" s="21" t="s">
        <v>10</v>
      </c>
      <c r="E171" s="20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31"/>
      <c r="AP171" s="39">
        <v>2</v>
      </c>
      <c r="AQ171" s="39"/>
      <c r="AR171" s="39"/>
    </row>
    <row r="172" spans="4:44" ht="19" customHeight="1" thickBot="1" x14ac:dyDescent="0.45">
      <c r="D172" s="22" t="s">
        <v>11</v>
      </c>
      <c r="E172" s="20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31"/>
      <c r="AP172" s="39">
        <v>32</v>
      </c>
      <c r="AQ172" s="39"/>
      <c r="AR172" s="39"/>
    </row>
    <row r="173" spans="4:44" ht="19" customHeight="1" thickBot="1" x14ac:dyDescent="0.45">
      <c r="D173" s="22" t="s">
        <v>12</v>
      </c>
      <c r="E173" s="20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31"/>
      <c r="AP173" s="39">
        <v>61</v>
      </c>
      <c r="AQ173" s="39"/>
      <c r="AR173" s="39"/>
    </row>
    <row r="174" spans="4:44" ht="19" customHeight="1" thickBot="1" x14ac:dyDescent="0.45">
      <c r="D174" s="22" t="s">
        <v>13</v>
      </c>
      <c r="E174" s="20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31"/>
      <c r="AP174" s="39">
        <v>7</v>
      </c>
      <c r="AQ174" s="39"/>
      <c r="AR174" s="39"/>
    </row>
    <row r="175" spans="4:44" ht="19" customHeight="1" thickBot="1" x14ac:dyDescent="0.45">
      <c r="D175" s="22" t="s">
        <v>14</v>
      </c>
      <c r="E175" s="20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31"/>
      <c r="AP175" s="39">
        <v>7</v>
      </c>
      <c r="AQ175" s="39"/>
      <c r="AR175" s="39"/>
    </row>
    <row r="176" spans="4:44" ht="19" customHeight="1" thickBot="1" x14ac:dyDescent="0.45">
      <c r="D176" s="22" t="s">
        <v>15</v>
      </c>
      <c r="E176" s="20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31"/>
      <c r="AP176" s="39">
        <v>10</v>
      </c>
      <c r="AQ176" s="39"/>
      <c r="AR176" s="39"/>
    </row>
    <row r="177" spans="4:44" ht="19" customHeight="1" thickBot="1" x14ac:dyDescent="0.45">
      <c r="D177" s="22" t="s">
        <v>16</v>
      </c>
      <c r="E177" s="20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31"/>
      <c r="AP177" s="39">
        <v>2</v>
      </c>
      <c r="AQ177" s="39"/>
      <c r="AR177" s="39"/>
    </row>
    <row r="178" spans="4:44" ht="19" customHeight="1" thickBot="1" x14ac:dyDescent="0.45">
      <c r="D178" s="22" t="s">
        <v>17</v>
      </c>
      <c r="E178" s="20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31"/>
      <c r="AP178" s="39">
        <v>4</v>
      </c>
      <c r="AQ178" s="39"/>
      <c r="AR178" s="39"/>
    </row>
    <row r="179" spans="4:44" ht="19" customHeight="1" thickBot="1" x14ac:dyDescent="0.45">
      <c r="D179" s="22" t="s">
        <v>18</v>
      </c>
      <c r="E179" s="20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31"/>
      <c r="AP179" s="39">
        <v>2</v>
      </c>
      <c r="AQ179" s="39"/>
      <c r="AR179" s="39"/>
    </row>
    <row r="180" spans="4:44" ht="19" customHeight="1" thickBot="1" x14ac:dyDescent="0.45">
      <c r="D180" s="22" t="s">
        <v>19</v>
      </c>
      <c r="E180" s="20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31"/>
      <c r="AP180" s="39">
        <v>6</v>
      </c>
      <c r="AQ180" s="39"/>
      <c r="AR180" s="39"/>
    </row>
    <row r="181" spans="4:44" ht="19" customHeight="1" thickBot="1" x14ac:dyDescent="0.45">
      <c r="D181" s="22" t="s">
        <v>20</v>
      </c>
      <c r="E181" s="20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31"/>
      <c r="AP181" s="39">
        <v>13</v>
      </c>
      <c r="AQ181" s="39"/>
      <c r="AR181" s="39"/>
    </row>
    <row r="182" spans="4:44" ht="19" customHeight="1" thickBot="1" x14ac:dyDescent="0.45">
      <c r="D182" s="22" t="s">
        <v>21</v>
      </c>
      <c r="E182" s="20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31"/>
      <c r="AP182" s="39">
        <v>1</v>
      </c>
      <c r="AQ182" s="39"/>
      <c r="AR182" s="39"/>
    </row>
    <row r="183" spans="4:44" ht="19" customHeight="1" thickBot="1" x14ac:dyDescent="0.45">
      <c r="D183" s="22" t="s">
        <v>22</v>
      </c>
      <c r="E183" s="20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31"/>
      <c r="AP183" s="39">
        <v>6</v>
      </c>
      <c r="AQ183" s="39"/>
      <c r="AR183" s="39"/>
    </row>
    <row r="184" spans="4:44" ht="19" customHeight="1" thickBot="1" x14ac:dyDescent="0.45"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</row>
    <row r="185" spans="4:44" ht="19" customHeight="1" thickBot="1" x14ac:dyDescent="0.45">
      <c r="D185" s="21" t="s">
        <v>23</v>
      </c>
      <c r="E185" s="20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31"/>
      <c r="AP185" s="39" t="s">
        <v>24</v>
      </c>
      <c r="AQ185" s="39"/>
      <c r="AR185" s="39"/>
    </row>
    <row r="186" spans="4:44" ht="19" customHeight="1" thickBot="1" x14ac:dyDescent="0.45">
      <c r="D186" s="22" t="s">
        <v>25</v>
      </c>
      <c r="E186" s="20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31"/>
      <c r="AP186" s="39" t="s">
        <v>26</v>
      </c>
      <c r="AQ186" s="39"/>
      <c r="AR186" s="39"/>
    </row>
    <row r="187" spans="4:44" ht="19" customHeight="1" thickBot="1" x14ac:dyDescent="0.45">
      <c r="D187" s="22" t="s">
        <v>27</v>
      </c>
      <c r="E187" s="20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31"/>
      <c r="AP187" s="39" t="s">
        <v>28</v>
      </c>
      <c r="AQ187" s="39"/>
      <c r="AR187" s="39"/>
    </row>
    <row r="188" spans="4:44" ht="19" customHeight="1" thickBot="1" x14ac:dyDescent="0.45">
      <c r="D188" s="22" t="s">
        <v>29</v>
      </c>
      <c r="E188" s="20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31"/>
      <c r="AP188" s="39">
        <v>34</v>
      </c>
      <c r="AQ188" s="39"/>
      <c r="AR188" s="39"/>
    </row>
    <row r="189" spans="4:44" ht="19" customHeight="1" thickBot="1" x14ac:dyDescent="0.45">
      <c r="D189" s="22" t="s">
        <v>30</v>
      </c>
      <c r="E189" s="20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31"/>
      <c r="AP189" s="39">
        <v>13</v>
      </c>
      <c r="AQ189" s="39"/>
      <c r="AR189" s="39"/>
    </row>
    <row r="190" spans="4:44" ht="19" customHeight="1" thickBot="1" x14ac:dyDescent="0.45">
      <c r="D190" s="22" t="s">
        <v>31</v>
      </c>
      <c r="E190" s="20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31"/>
      <c r="AP190" s="39">
        <v>16</v>
      </c>
      <c r="AQ190" s="39"/>
      <c r="AR190" s="39"/>
    </row>
    <row r="191" spans="4:44" ht="19" customHeight="1" thickBot="1" x14ac:dyDescent="0.45">
      <c r="D191" s="22" t="s">
        <v>32</v>
      </c>
      <c r="E191" s="20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31"/>
      <c r="AP191" s="39">
        <v>15</v>
      </c>
      <c r="AQ191" s="39"/>
      <c r="AR191" s="39"/>
    </row>
    <row r="192" spans="4:44" ht="19" customHeight="1" thickBot="1" x14ac:dyDescent="0.45"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32"/>
      <c r="AP192" s="26"/>
      <c r="AQ192" s="26"/>
      <c r="AR192" s="26"/>
    </row>
    <row r="193" spans="4:44" ht="19" customHeight="1" thickBot="1" x14ac:dyDescent="0.45">
      <c r="D193" s="21" t="s">
        <v>33</v>
      </c>
      <c r="E193" s="20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31"/>
      <c r="AP193" s="39">
        <v>3</v>
      </c>
      <c r="AQ193" s="39"/>
      <c r="AR193" s="39"/>
    </row>
    <row r="194" spans="4:44" ht="19" customHeight="1" thickBot="1" x14ac:dyDescent="0.45">
      <c r="D194" s="22" t="s">
        <v>34</v>
      </c>
      <c r="E194" s="20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31"/>
      <c r="AP194" s="39">
        <v>7</v>
      </c>
      <c r="AQ194" s="39"/>
      <c r="AR194" s="39"/>
    </row>
    <row r="195" spans="4:44" ht="19" customHeight="1" thickBot="1" x14ac:dyDescent="0.45">
      <c r="D195" s="22" t="s">
        <v>35</v>
      </c>
      <c r="E195" s="20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31"/>
      <c r="AP195" s="39">
        <v>2</v>
      </c>
      <c r="AQ195" s="39"/>
      <c r="AR195" s="39"/>
    </row>
    <row r="196" spans="4:44" ht="19" customHeight="1" thickBot="1" x14ac:dyDescent="0.45">
      <c r="D196" s="22" t="s">
        <v>36</v>
      </c>
      <c r="E196" s="20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31"/>
      <c r="AP196" s="39">
        <v>4</v>
      </c>
      <c r="AQ196" s="39"/>
      <c r="AR196" s="39"/>
    </row>
    <row r="197" spans="4:44" ht="19" customHeight="1" thickBot="1" x14ac:dyDescent="0.45">
      <c r="D197" s="22" t="s">
        <v>37</v>
      </c>
      <c r="E197" s="20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31"/>
      <c r="AP197" s="39">
        <v>2</v>
      </c>
      <c r="AQ197" s="39"/>
      <c r="AR197" s="39"/>
    </row>
    <row r="198" spans="4:44" ht="19" customHeight="1" thickBot="1" x14ac:dyDescent="0.45">
      <c r="D198" s="22" t="s">
        <v>38</v>
      </c>
      <c r="E198" s="20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31"/>
      <c r="AP198" s="39">
        <v>8</v>
      </c>
      <c r="AQ198" s="39"/>
      <c r="AR198" s="39"/>
    </row>
    <row r="199" spans="4:44" ht="19" customHeight="1" thickBot="1" x14ac:dyDescent="0.45"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33"/>
      <c r="AP199" s="34"/>
      <c r="AQ199" s="34"/>
      <c r="AR199" s="34"/>
    </row>
    <row r="200" spans="4:44" ht="19" customHeight="1" thickBot="1" x14ac:dyDescent="0.45">
      <c r="D200" s="21" t="s">
        <v>39</v>
      </c>
      <c r="E200" s="20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31"/>
      <c r="AP200" s="39">
        <v>3</v>
      </c>
      <c r="AQ200" s="39"/>
      <c r="AR200" s="39"/>
    </row>
    <row r="201" spans="4:44" ht="19" customHeight="1" thickBot="1" x14ac:dyDescent="0.45">
      <c r="D201" s="22" t="s">
        <v>40</v>
      </c>
      <c r="E201" s="20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31"/>
      <c r="AP201" s="39">
        <v>3</v>
      </c>
      <c r="AQ201" s="39"/>
      <c r="AR201" s="39"/>
    </row>
    <row r="202" spans="4:44" ht="19" customHeight="1" thickBot="1" x14ac:dyDescent="0.45">
      <c r="D202" s="22" t="s">
        <v>41</v>
      </c>
      <c r="E202" s="20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31"/>
      <c r="AP202" s="39">
        <v>2</v>
      </c>
      <c r="AQ202" s="39"/>
      <c r="AR202" s="39"/>
    </row>
    <row r="203" spans="4:44" ht="19" customHeight="1" thickBot="1" x14ac:dyDescent="0.45">
      <c r="D203" s="22" t="s">
        <v>42</v>
      </c>
      <c r="E203" s="20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31"/>
      <c r="AP203" s="39">
        <v>2</v>
      </c>
      <c r="AQ203" s="39"/>
      <c r="AR203" s="39"/>
    </row>
    <row r="204" spans="4:44" ht="19" customHeight="1" thickBot="1" x14ac:dyDescent="0.45"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32"/>
      <c r="AP204" s="26"/>
      <c r="AQ204" s="26"/>
      <c r="AR204" s="26"/>
    </row>
    <row r="205" spans="4:44" ht="19" customHeight="1" thickBot="1" x14ac:dyDescent="0.45">
      <c r="D205" s="21" t="s">
        <v>43</v>
      </c>
      <c r="E205" s="20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31"/>
      <c r="AP205" s="39">
        <v>2</v>
      </c>
      <c r="AQ205" s="39"/>
      <c r="AR205" s="39"/>
    </row>
    <row r="206" spans="4:44" ht="19" customHeight="1" thickBot="1" x14ac:dyDescent="0.45">
      <c r="D206" s="22" t="s">
        <v>44</v>
      </c>
      <c r="E206" s="20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31"/>
      <c r="AP206" s="39">
        <v>2</v>
      </c>
      <c r="AQ206" s="39"/>
      <c r="AR206" s="39"/>
    </row>
    <row r="207" spans="4:44" ht="19" customHeight="1" thickBot="1" x14ac:dyDescent="0.45">
      <c r="D207" s="22" t="s">
        <v>45</v>
      </c>
      <c r="E207" s="20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31"/>
      <c r="AP207" s="39">
        <v>1</v>
      </c>
      <c r="AQ207" s="39"/>
      <c r="AR207" s="39"/>
    </row>
    <row r="208" spans="4:44" ht="19" customHeight="1" thickBot="1" x14ac:dyDescent="0.45">
      <c r="D208" s="22" t="s">
        <v>46</v>
      </c>
      <c r="E208" s="20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31"/>
      <c r="AP208" s="39">
        <v>2</v>
      </c>
      <c r="AQ208" s="39"/>
      <c r="AR208" s="39"/>
    </row>
    <row r="209" spans="4:44" ht="19" customHeight="1" thickBot="1" x14ac:dyDescent="0.45">
      <c r="D209" s="22" t="s">
        <v>47</v>
      </c>
      <c r="E209" s="20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31"/>
      <c r="AP209" s="39">
        <v>2</v>
      </c>
      <c r="AQ209" s="39"/>
      <c r="AR209" s="39"/>
    </row>
    <row r="210" spans="4:44" ht="19" customHeight="1" thickBot="1" x14ac:dyDescent="0.45">
      <c r="D210" s="22" t="s">
        <v>48</v>
      </c>
      <c r="E210" s="20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31"/>
      <c r="AP210" s="39">
        <v>3</v>
      </c>
      <c r="AQ210" s="39"/>
      <c r="AR210" s="39"/>
    </row>
    <row r="211" spans="4:44" ht="19" customHeight="1" thickBot="1" x14ac:dyDescent="0.45">
      <c r="D211" s="22" t="s">
        <v>49</v>
      </c>
      <c r="E211" s="20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31"/>
      <c r="AP211" s="39">
        <v>2</v>
      </c>
      <c r="AQ211" s="39"/>
      <c r="AR211" s="39"/>
    </row>
    <row r="212" spans="4:44" ht="19" customHeight="1" thickBot="1" x14ac:dyDescent="0.45">
      <c r="D212" s="22" t="s">
        <v>50</v>
      </c>
      <c r="E212" s="20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31"/>
      <c r="AP212" s="39">
        <v>1</v>
      </c>
      <c r="AQ212" s="39"/>
      <c r="AR212" s="39"/>
    </row>
    <row r="213" spans="4:44" ht="19" customHeight="1" thickBot="1" x14ac:dyDescent="0.45">
      <c r="D213" s="22" t="s">
        <v>51</v>
      </c>
      <c r="E213" s="20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31"/>
      <c r="AP213" s="39">
        <v>1</v>
      </c>
      <c r="AQ213" s="39"/>
      <c r="AR213" s="39"/>
    </row>
    <row r="214" spans="4:44" ht="19" customHeight="1" thickBot="1" x14ac:dyDescent="0.45">
      <c r="D214" s="22" t="s">
        <v>52</v>
      </c>
      <c r="E214" s="20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31"/>
      <c r="AP214" s="39">
        <v>3</v>
      </c>
      <c r="AQ214" s="39"/>
      <c r="AR214" s="39"/>
    </row>
    <row r="215" spans="4:44" ht="19" customHeight="1" thickBot="1" x14ac:dyDescent="0.45">
      <c r="D215" s="22" t="s">
        <v>53</v>
      </c>
      <c r="E215" s="20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31"/>
      <c r="AP215" s="39">
        <v>2</v>
      </c>
      <c r="AQ215" s="39"/>
      <c r="AR215" s="39"/>
    </row>
    <row r="216" spans="4:44" ht="19" customHeight="1" thickBot="1" x14ac:dyDescent="0.45">
      <c r="D216" s="22" t="s">
        <v>54</v>
      </c>
      <c r="E216" s="20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31"/>
      <c r="AP216" s="39">
        <v>1</v>
      </c>
      <c r="AQ216" s="39"/>
      <c r="AR216" s="39"/>
    </row>
    <row r="217" spans="4:44" ht="19" customHeight="1" thickBot="1" x14ac:dyDescent="0.45">
      <c r="D217" s="22" t="s">
        <v>55</v>
      </c>
      <c r="E217" s="20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31"/>
      <c r="AP217" s="39">
        <v>1</v>
      </c>
      <c r="AQ217" s="39"/>
      <c r="AR217" s="39"/>
    </row>
    <row r="218" spans="4:44" ht="19" customHeight="1" thickBot="1" x14ac:dyDescent="0.45">
      <c r="D218" s="22" t="s">
        <v>56</v>
      </c>
      <c r="E218" s="20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31"/>
      <c r="AP218" s="39">
        <v>2</v>
      </c>
      <c r="AQ218" s="39"/>
      <c r="AR218" s="39"/>
    </row>
    <row r="219" spans="4:44" ht="19" customHeight="1" thickBot="1" x14ac:dyDescent="0.45">
      <c r="D219" s="22" t="s">
        <v>57</v>
      </c>
      <c r="E219" s="20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31"/>
      <c r="AP219" s="39">
        <v>2</v>
      </c>
      <c r="AQ219" s="39"/>
      <c r="AR219" s="39"/>
    </row>
    <row r="220" spans="4:44" ht="19" customHeight="1" x14ac:dyDescent="0.4">
      <c r="D220" s="8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30"/>
      <c r="AQ220" s="30"/>
      <c r="AR220" s="30"/>
    </row>
    <row r="221" spans="4:44" ht="19" customHeight="1" x14ac:dyDescent="0.4">
      <c r="D221" s="8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30"/>
      <c r="AQ221" s="30"/>
      <c r="AR221" s="30"/>
    </row>
    <row r="222" spans="4:44" ht="19" customHeight="1" x14ac:dyDescent="0.4">
      <c r="D222" s="8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30"/>
      <c r="AQ222" s="30"/>
      <c r="AR222" s="30"/>
    </row>
    <row r="223" spans="4:44" ht="19" customHeight="1" x14ac:dyDescent="0.4">
      <c r="D223" s="8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30"/>
      <c r="AQ223" s="30"/>
      <c r="AR223" s="30"/>
    </row>
    <row r="224" spans="4:44" ht="19" customHeight="1" x14ac:dyDescent="0.4">
      <c r="D224" s="8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30"/>
      <c r="AQ224" s="30"/>
      <c r="AR224" s="30"/>
    </row>
    <row r="225" spans="4:44" ht="19" customHeight="1" x14ac:dyDescent="0.4">
      <c r="D225" s="8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30"/>
      <c r="AQ225" s="30"/>
      <c r="AR225" s="30"/>
    </row>
    <row r="226" spans="4:44" ht="19" customHeight="1" x14ac:dyDescent="0.4">
      <c r="D226" s="9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30"/>
      <c r="AQ226" s="30"/>
      <c r="AR226" s="30"/>
    </row>
    <row r="227" spans="4:44" ht="19" customHeight="1" x14ac:dyDescent="0.4">
      <c r="D227" s="9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30"/>
      <c r="AQ227" s="30"/>
      <c r="AR227" s="30"/>
    </row>
    <row r="228" spans="4:44" ht="12" customHeight="1" x14ac:dyDescent="0.4"/>
    <row r="229" spans="4:44" s="10" customFormat="1" ht="19" customHeight="1" x14ac:dyDescent="0.4">
      <c r="D229" s="41">
        <f>DATE(CalendarYear,5,1)</f>
        <v>46143</v>
      </c>
      <c r="E229" s="16" t="str">
        <f>IF(DAY(MaySun1)=1,"",IF(AND(YEAR(MaySun1+1)=CalendarYear,MONTH(MaySun1+1)=5),MaySun1+1,""))</f>
        <v/>
      </c>
      <c r="F229" s="16" t="str">
        <f>IF(DAY(MaySun1)=1,"",IF(AND(YEAR(MaySun1+2)=CalendarYear,MONTH(MaySun1+2)=5),MaySun1+2,""))</f>
        <v/>
      </c>
      <c r="G229" s="16" t="str">
        <f>IF(DAY(MaySun1)=1,"",IF(AND(YEAR(MaySun1+3)=CalendarYear,MONTH(MaySun1+3)=5),MaySun1+3,""))</f>
        <v/>
      </c>
      <c r="H229" s="16" t="str">
        <f>IF(DAY(MaySun1)=1,"",IF(AND(YEAR(MaySun1+4)=CalendarYear,MONTH(MaySun1+4)=5),MaySun1+4,""))</f>
        <v/>
      </c>
      <c r="I229" s="16" t="str">
        <f>IF(DAY(MaySun1)=1,"",IF(AND(YEAR(MaySun1+5)=CalendarYear,MONTH(MaySun1+5)=5),MaySun1+5,""))</f>
        <v/>
      </c>
      <c r="J229" s="16">
        <f>IF(DAY(MaySun1)=1,"",IF(AND(YEAR(MaySun1+6)=CalendarYear,MONTH(MaySun1+6)=5),MaySun1+6,""))</f>
        <v>46143</v>
      </c>
      <c r="K229" s="16">
        <f>IF(DAY(MaySun1)=1,IF(AND(YEAR(MaySun1)=CalendarYear,MONTH(MaySun1)=5),MaySun1,""),IF(AND(YEAR(MaySun1+7)=CalendarYear,MONTH(MaySun1+7)=5),MaySun1+7,""))</f>
        <v>46144</v>
      </c>
      <c r="L229" s="16">
        <f>IF(DAY(MaySun1)=1,IF(AND(YEAR(MaySun1+1)=CalendarYear,MONTH(MaySun1+1)=5),MaySun1+1,""),IF(AND(YEAR(MaySun1+8)=CalendarYear,MONTH(MaySun1+8)=5),MaySun1+8,""))</f>
        <v>46145</v>
      </c>
      <c r="M229" s="16">
        <f>IF(DAY(MaySun1)=1,IF(AND(YEAR(MaySun1+2)=CalendarYear,MONTH(MaySun1+2)=5),MaySun1+2,""),IF(AND(YEAR(MaySun1+9)=CalendarYear,MONTH(MaySun1+9)=5),MaySun1+9,""))</f>
        <v>46146</v>
      </c>
      <c r="N229" s="16">
        <f>IF(DAY(MaySun1)=1,IF(AND(YEAR(MaySun1+3)=CalendarYear,MONTH(MaySun1+3)=5),MaySun1+3,""),IF(AND(YEAR(MaySun1+10)=CalendarYear,MONTH(MaySun1+10)=5),MaySun1+10,""))</f>
        <v>46147</v>
      </c>
      <c r="O229" s="16">
        <f>IF(DAY(MaySun1)=1,IF(AND(YEAR(MaySun1+4)=CalendarYear,MONTH(MaySun1+4)=5),MaySun1+4,""),IF(AND(YEAR(MaySun1+11)=CalendarYear,MONTH(MaySun1+11)=5),MaySun1+11,""))</f>
        <v>46148</v>
      </c>
      <c r="P229" s="16">
        <f>IF(DAY(MaySun1)=1,IF(AND(YEAR(MaySun1+5)=CalendarYear,MONTH(MaySun1+5)=5),MaySun1+5,""),IF(AND(YEAR(MaySun1+12)=CalendarYear,MONTH(MaySun1+12)=5),MaySun1+12,""))</f>
        <v>46149</v>
      </c>
      <c r="Q229" s="16">
        <f>IF(DAY(MaySun1)=1,IF(AND(YEAR(MaySun1+6)=CalendarYear,MONTH(MaySun1+6)=5),MaySun1+6,""),IF(AND(YEAR(MaySun1+13)=CalendarYear,MONTH(MaySun1+13)=5),MaySun1+13,""))</f>
        <v>46150</v>
      </c>
      <c r="R229" s="16">
        <f>IF(DAY(MaySun1)=1,IF(AND(YEAR(MaySun1+7)=CalendarYear,MONTH(MaySun1+7)=5),MaySun1+7,""),IF(AND(YEAR(MaySun1+14)=CalendarYear,MONTH(MaySun1+14)=5),MaySun1+14,""))</f>
        <v>46151</v>
      </c>
      <c r="S229" s="16">
        <f>IF(DAY(MaySun1)=1,IF(AND(YEAR(MaySun1+8)=CalendarYear,MONTH(MaySun1+8)=5),MaySun1+8,""),IF(AND(YEAR(MaySun1+15)=CalendarYear,MONTH(MaySun1+15)=5),MaySun1+15,""))</f>
        <v>46152</v>
      </c>
      <c r="T229" s="16">
        <f>IF(DAY(MaySun1)=1,IF(AND(YEAR(MaySun1+9)=CalendarYear,MONTH(MaySun1+9)=5),MaySun1+9,""),IF(AND(YEAR(MaySun1+16)=CalendarYear,MONTH(MaySun1+16)=5),MaySun1+16,""))</f>
        <v>46153</v>
      </c>
      <c r="U229" s="16">
        <f>IF(DAY(MaySun1)=1,IF(AND(YEAR(MaySun1+10)=CalendarYear,MONTH(MaySun1+10)=5),MaySun1+10,""),IF(AND(YEAR(MaySun1+17)=CalendarYear,MONTH(MaySun1+17)=5),MaySun1+17,""))</f>
        <v>46154</v>
      </c>
      <c r="V229" s="16">
        <f>IF(DAY(MaySun1)=1,IF(AND(YEAR(MaySun1+11)=CalendarYear,MONTH(MaySun1+11)=5),MaySun1+11,""),IF(AND(YEAR(MaySun1+18)=CalendarYear,MONTH(MaySun1+18)=5),MaySun1+18,""))</f>
        <v>46155</v>
      </c>
      <c r="W229" s="16">
        <f>IF(DAY(MaySun1)=1,IF(AND(YEAR(MaySun1+12)=CalendarYear,MONTH(MaySun1+12)=5),MaySun1+12,""),IF(AND(YEAR(MaySun1+19)=CalendarYear,MONTH(MaySun1+19)=5),MaySun1+19,""))</f>
        <v>46156</v>
      </c>
      <c r="X229" s="16">
        <f>IF(DAY(MaySun1)=1,IF(AND(YEAR(MaySun1+13)=CalendarYear,MONTH(MaySun1+13)=5),MaySun1+13,""),IF(AND(YEAR(MaySun1+20)=CalendarYear,MONTH(MaySun1+20)=5),MaySun1+20,""))</f>
        <v>46157</v>
      </c>
      <c r="Y229" s="16">
        <f>IF(DAY(MaySun1)=1,IF(AND(YEAR(MaySun1+14)=CalendarYear,MONTH(MaySun1+14)=5),MaySun1+14,""),IF(AND(YEAR(MaySun1+21)=CalendarYear,MONTH(MaySun1+21)=5),MaySun1+21,""))</f>
        <v>46158</v>
      </c>
      <c r="Z229" s="16">
        <f>IF(DAY(MaySun1)=1,IF(AND(YEAR(MaySun1+15)=CalendarYear,MONTH(MaySun1+15)=5),MaySun1+15,""),IF(AND(YEAR(MaySun1+22)=CalendarYear,MONTH(MaySun1+22)=5),MaySun1+22,""))</f>
        <v>46159</v>
      </c>
      <c r="AA229" s="16">
        <f>IF(DAY(MaySun1)=1,IF(AND(YEAR(MaySun1+16)=CalendarYear,MONTH(MaySun1+16)=5),MaySun1+16,""),IF(AND(YEAR(MaySun1+23)=CalendarYear,MONTH(MaySun1+23)=5),MaySun1+23,""))</f>
        <v>46160</v>
      </c>
      <c r="AB229" s="16">
        <f>IF(DAY(MaySun1)=1,IF(AND(YEAR(MaySun1+17)=CalendarYear,MONTH(MaySun1+17)=5),MaySun1+17,""),IF(AND(YEAR(MaySun1+24)=CalendarYear,MONTH(MaySun1+24)=5),MaySun1+24,""))</f>
        <v>46161</v>
      </c>
      <c r="AC229" s="16">
        <f>IF(DAY(MaySun1)=1,IF(AND(YEAR(MaySun1+18)=CalendarYear,MONTH(MaySun1+18)=5),MaySun1+18,""),IF(AND(YEAR(MaySun1+25)=CalendarYear,MONTH(MaySun1+25)=5),MaySun1+25,""))</f>
        <v>46162</v>
      </c>
      <c r="AD229" s="16">
        <f>IF(DAY(MaySun1)=1,IF(AND(YEAR(MaySun1+19)=CalendarYear,MONTH(MaySun1+19)=5),MaySun1+19,""),IF(AND(YEAR(MaySun1+26)=CalendarYear,MONTH(MaySun1+26)=5),MaySun1+26,""))</f>
        <v>46163</v>
      </c>
      <c r="AE229" s="16">
        <f>IF(DAY(MaySun1)=1,IF(AND(YEAR(MaySun1+20)=CalendarYear,MONTH(MaySun1+20)=5),MaySun1+20,""),IF(AND(YEAR(MaySun1+27)=CalendarYear,MONTH(MaySun1+27)=5),MaySun1+27,""))</f>
        <v>46164</v>
      </c>
      <c r="AF229" s="16">
        <f>IF(DAY(MaySun1)=1,IF(AND(YEAR(MaySun1+21)=CalendarYear,MONTH(MaySun1+21)=5),MaySun1+21,""),IF(AND(YEAR(MaySun1+28)=CalendarYear,MONTH(MaySun1+28)=5),MaySun1+28,""))</f>
        <v>46165</v>
      </c>
      <c r="AG229" s="16">
        <f>IF(DAY(MaySun1)=1,IF(AND(YEAR(MaySun1+22)=CalendarYear,MONTH(MaySun1+22)=5),MaySun1+22,""),IF(AND(YEAR(MaySun1+29)=CalendarYear,MONTH(MaySun1+29)=5),MaySun1+29,""))</f>
        <v>46166</v>
      </c>
      <c r="AH229" s="16">
        <f>IF(DAY(MaySun1)=1,IF(AND(YEAR(MaySun1+23)=CalendarYear,MONTH(MaySun1+23)=5),MaySun1+23,""),IF(AND(YEAR(MaySun1+30)=CalendarYear,MONTH(MaySun1+30)=5),MaySun1+30,""))</f>
        <v>46167</v>
      </c>
      <c r="AI229" s="16">
        <f>IF(DAY(MaySun1)=1,IF(AND(YEAR(MaySun1+24)=CalendarYear,MONTH(MaySun1+24)=5),MaySun1+24,""),IF(AND(YEAR(MaySun1+31)=CalendarYear,MONTH(MaySun1+31)=5),MaySun1+31,""))</f>
        <v>46168</v>
      </c>
      <c r="AJ229" s="16">
        <f>IF(DAY(MaySun1)=1,IF(AND(YEAR(MaySun1+25)=CalendarYear,MONTH(MaySun1+25)=5),MaySun1+25,""),IF(AND(YEAR(MaySun1+32)=CalendarYear,MONTH(MaySun1+32)=5),MaySun1+32,""))</f>
        <v>46169</v>
      </c>
      <c r="AK229" s="16">
        <f>IF(DAY(MaySun1)=1,IF(AND(YEAR(MaySun1+26)=CalendarYear,MONTH(MaySun1+26)=5),MaySun1+26,""),IF(AND(YEAR(MaySun1+33)=CalendarYear,MONTH(MaySun1+33)=5),MaySun1+33,""))</f>
        <v>46170</v>
      </c>
      <c r="AL229" s="16">
        <f>IF(DAY(MaySun1)=1,IF(AND(YEAR(MaySun1+27)=CalendarYear,MONTH(MaySun1+27)=5),MaySun1+27,""),IF(AND(YEAR(MaySun1+34)=CalendarYear,MONTH(MaySun1+34)=5),MaySun1+34,""))</f>
        <v>46171</v>
      </c>
      <c r="AM229" s="16">
        <f>IF(DAY(MaySun1)=1,IF(AND(YEAR(MaySun1+28)=CalendarYear,MONTH(MaySun1+28)=5),MaySun1+28,""),IF(AND(YEAR(MaySun1+35)=CalendarYear,MONTH(MaySun1+35)=5),MaySun1+35,""))</f>
        <v>46172</v>
      </c>
      <c r="AN229" s="16">
        <f>IF(DAY(MaySun1)=1,IF(AND(YEAR(MaySun1+29)=CalendarYear,MONTH(MaySun1+29)=5),MaySun1+29,""),IF(AND(YEAR(MaySun1+36)=CalendarYear,MONTH(MaySun1+36)=5),MaySun1+36,""))</f>
        <v>46173</v>
      </c>
      <c r="AO229" s="17" t="str">
        <f>IF(DAY(MaySun1)=1,IF(AND(YEAR(MaySun1+30)=CalendarYear,MONTH(MaySun1+30)=5),MaySun1+30,""),IF(AND(YEAR(MaySun1+37)=CalendarYear,MONTH(MaySun1+37)=5),MaySun1+37,""))</f>
        <v/>
      </c>
      <c r="AP229" s="29"/>
      <c r="AQ229" s="29"/>
      <c r="AR229" s="29"/>
    </row>
    <row r="230" spans="4:44" s="10" customFormat="1" ht="19" customHeight="1" thickBot="1" x14ac:dyDescent="0.45">
      <c r="D230" s="43"/>
      <c r="E230" s="18" t="s">
        <v>2</v>
      </c>
      <c r="F230" s="18" t="s">
        <v>3</v>
      </c>
      <c r="G230" s="18" t="s">
        <v>4</v>
      </c>
      <c r="H230" s="18" t="s">
        <v>5</v>
      </c>
      <c r="I230" s="18" t="s">
        <v>6</v>
      </c>
      <c r="J230" s="18" t="s">
        <v>7</v>
      </c>
      <c r="K230" s="18" t="s">
        <v>8</v>
      </c>
      <c r="L230" s="18" t="s">
        <v>2</v>
      </c>
      <c r="M230" s="18" t="s">
        <v>3</v>
      </c>
      <c r="N230" s="18" t="s">
        <v>4</v>
      </c>
      <c r="O230" s="18" t="s">
        <v>5</v>
      </c>
      <c r="P230" s="18" t="s">
        <v>6</v>
      </c>
      <c r="Q230" s="18" t="s">
        <v>7</v>
      </c>
      <c r="R230" s="18" t="s">
        <v>8</v>
      </c>
      <c r="S230" s="18" t="s">
        <v>2</v>
      </c>
      <c r="T230" s="18" t="s">
        <v>3</v>
      </c>
      <c r="U230" s="18" t="s">
        <v>4</v>
      </c>
      <c r="V230" s="18" t="s">
        <v>5</v>
      </c>
      <c r="W230" s="18" t="s">
        <v>6</v>
      </c>
      <c r="X230" s="18" t="s">
        <v>7</v>
      </c>
      <c r="Y230" s="18" t="s">
        <v>8</v>
      </c>
      <c r="Z230" s="18" t="s">
        <v>2</v>
      </c>
      <c r="AA230" s="18" t="s">
        <v>3</v>
      </c>
      <c r="AB230" s="18" t="s">
        <v>4</v>
      </c>
      <c r="AC230" s="18" t="s">
        <v>5</v>
      </c>
      <c r="AD230" s="18" t="s">
        <v>6</v>
      </c>
      <c r="AE230" s="18" t="s">
        <v>7</v>
      </c>
      <c r="AF230" s="18" t="s">
        <v>8</v>
      </c>
      <c r="AG230" s="18" t="s">
        <v>2</v>
      </c>
      <c r="AH230" s="18" t="s">
        <v>3</v>
      </c>
      <c r="AI230" s="18" t="s">
        <v>4</v>
      </c>
      <c r="AJ230" s="18" t="s">
        <v>5</v>
      </c>
      <c r="AK230" s="18" t="s">
        <v>6</v>
      </c>
      <c r="AL230" s="18" t="s">
        <v>7</v>
      </c>
      <c r="AM230" s="18" t="s">
        <v>8</v>
      </c>
      <c r="AN230" s="18" t="s">
        <v>2</v>
      </c>
      <c r="AO230" s="19" t="s">
        <v>3</v>
      </c>
      <c r="AP230" s="23"/>
      <c r="AQ230" s="23"/>
      <c r="AR230" s="23"/>
    </row>
    <row r="231" spans="4:44" ht="19" customHeight="1" thickBot="1" x14ac:dyDescent="0.45">
      <c r="D231" s="21" t="s">
        <v>10</v>
      </c>
      <c r="E231" s="20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31"/>
      <c r="AP231" s="39">
        <v>2</v>
      </c>
      <c r="AQ231" s="39"/>
      <c r="AR231" s="39"/>
    </row>
    <row r="232" spans="4:44" ht="19" customHeight="1" thickBot="1" x14ac:dyDescent="0.45">
      <c r="D232" s="22" t="s">
        <v>11</v>
      </c>
      <c r="E232" s="20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31"/>
      <c r="AP232" s="39">
        <v>32</v>
      </c>
      <c r="AQ232" s="39"/>
      <c r="AR232" s="39"/>
    </row>
    <row r="233" spans="4:44" ht="19" customHeight="1" thickBot="1" x14ac:dyDescent="0.45">
      <c r="D233" s="22" t="s">
        <v>12</v>
      </c>
      <c r="E233" s="20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31"/>
      <c r="AP233" s="39">
        <v>61</v>
      </c>
      <c r="AQ233" s="39"/>
      <c r="AR233" s="39"/>
    </row>
    <row r="234" spans="4:44" ht="19" customHeight="1" thickBot="1" x14ac:dyDescent="0.45">
      <c r="D234" s="22" t="s">
        <v>13</v>
      </c>
      <c r="E234" s="20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31"/>
      <c r="AP234" s="39">
        <v>7</v>
      </c>
      <c r="AQ234" s="39"/>
      <c r="AR234" s="39"/>
    </row>
    <row r="235" spans="4:44" ht="19" customHeight="1" thickBot="1" x14ac:dyDescent="0.45">
      <c r="D235" s="22" t="s">
        <v>14</v>
      </c>
      <c r="E235" s="20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31"/>
      <c r="AP235" s="39">
        <v>7</v>
      </c>
      <c r="AQ235" s="39"/>
      <c r="AR235" s="39"/>
    </row>
    <row r="236" spans="4:44" ht="19" customHeight="1" thickBot="1" x14ac:dyDescent="0.45">
      <c r="D236" s="22" t="s">
        <v>15</v>
      </c>
      <c r="E236" s="20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31"/>
      <c r="AP236" s="39">
        <v>10</v>
      </c>
      <c r="AQ236" s="39"/>
      <c r="AR236" s="39"/>
    </row>
    <row r="237" spans="4:44" ht="19" customHeight="1" thickBot="1" x14ac:dyDescent="0.45">
      <c r="D237" s="22" t="s">
        <v>16</v>
      </c>
      <c r="E237" s="20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31"/>
      <c r="AP237" s="39">
        <v>2</v>
      </c>
      <c r="AQ237" s="39"/>
      <c r="AR237" s="39"/>
    </row>
    <row r="238" spans="4:44" ht="19" customHeight="1" thickBot="1" x14ac:dyDescent="0.45">
      <c r="D238" s="22" t="s">
        <v>17</v>
      </c>
      <c r="E238" s="20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31"/>
      <c r="AP238" s="39">
        <v>4</v>
      </c>
      <c r="AQ238" s="39"/>
      <c r="AR238" s="39"/>
    </row>
    <row r="239" spans="4:44" ht="19" customHeight="1" thickBot="1" x14ac:dyDescent="0.45">
      <c r="D239" s="22" t="s">
        <v>18</v>
      </c>
      <c r="E239" s="20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31"/>
      <c r="AP239" s="39">
        <v>2</v>
      </c>
      <c r="AQ239" s="39"/>
      <c r="AR239" s="39"/>
    </row>
    <row r="240" spans="4:44" ht="19" customHeight="1" thickBot="1" x14ac:dyDescent="0.45">
      <c r="D240" s="22" t="s">
        <v>19</v>
      </c>
      <c r="E240" s="20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31"/>
      <c r="AP240" s="39">
        <v>6</v>
      </c>
      <c r="AQ240" s="39"/>
      <c r="AR240" s="39"/>
    </row>
    <row r="241" spans="4:44" ht="19" customHeight="1" thickBot="1" x14ac:dyDescent="0.45">
      <c r="D241" s="22" t="s">
        <v>20</v>
      </c>
      <c r="E241" s="20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31"/>
      <c r="AP241" s="39">
        <v>13</v>
      </c>
      <c r="AQ241" s="39"/>
      <c r="AR241" s="39"/>
    </row>
    <row r="242" spans="4:44" ht="19" customHeight="1" thickBot="1" x14ac:dyDescent="0.45">
      <c r="D242" s="22" t="s">
        <v>21</v>
      </c>
      <c r="E242" s="20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31"/>
      <c r="AP242" s="39">
        <v>1</v>
      </c>
      <c r="AQ242" s="39"/>
      <c r="AR242" s="39"/>
    </row>
    <row r="243" spans="4:44" ht="19" customHeight="1" thickBot="1" x14ac:dyDescent="0.45">
      <c r="D243" s="22" t="s">
        <v>22</v>
      </c>
      <c r="E243" s="20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31"/>
      <c r="AP243" s="39">
        <v>6</v>
      </c>
      <c r="AQ243" s="39"/>
      <c r="AR243" s="39"/>
    </row>
    <row r="244" spans="4:44" ht="19" customHeight="1" thickBot="1" x14ac:dyDescent="0.45"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</row>
    <row r="245" spans="4:44" ht="19" customHeight="1" thickBot="1" x14ac:dyDescent="0.45">
      <c r="D245" s="21" t="s">
        <v>23</v>
      </c>
      <c r="E245" s="20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31"/>
      <c r="AP245" s="39" t="s">
        <v>24</v>
      </c>
      <c r="AQ245" s="39"/>
      <c r="AR245" s="39"/>
    </row>
    <row r="246" spans="4:44" ht="19" customHeight="1" thickBot="1" x14ac:dyDescent="0.45">
      <c r="D246" s="22" t="s">
        <v>25</v>
      </c>
      <c r="E246" s="20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31"/>
      <c r="AP246" s="39" t="s">
        <v>26</v>
      </c>
      <c r="AQ246" s="39"/>
      <c r="AR246" s="39"/>
    </row>
    <row r="247" spans="4:44" ht="19" customHeight="1" thickBot="1" x14ac:dyDescent="0.45">
      <c r="D247" s="22" t="s">
        <v>27</v>
      </c>
      <c r="E247" s="20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31"/>
      <c r="AP247" s="39" t="s">
        <v>28</v>
      </c>
      <c r="AQ247" s="39"/>
      <c r="AR247" s="39"/>
    </row>
    <row r="248" spans="4:44" ht="19" customHeight="1" thickBot="1" x14ac:dyDescent="0.45">
      <c r="D248" s="22" t="s">
        <v>29</v>
      </c>
      <c r="E248" s="20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31"/>
      <c r="AP248" s="39">
        <v>34</v>
      </c>
      <c r="AQ248" s="39"/>
      <c r="AR248" s="39"/>
    </row>
    <row r="249" spans="4:44" ht="19" customHeight="1" thickBot="1" x14ac:dyDescent="0.45">
      <c r="D249" s="22" t="s">
        <v>30</v>
      </c>
      <c r="E249" s="20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31"/>
      <c r="AP249" s="39">
        <v>13</v>
      </c>
      <c r="AQ249" s="39"/>
      <c r="AR249" s="39"/>
    </row>
    <row r="250" spans="4:44" ht="19" customHeight="1" thickBot="1" x14ac:dyDescent="0.45">
      <c r="D250" s="22" t="s">
        <v>31</v>
      </c>
      <c r="E250" s="20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31"/>
      <c r="AP250" s="39">
        <v>16</v>
      </c>
      <c r="AQ250" s="39"/>
      <c r="AR250" s="39"/>
    </row>
    <row r="251" spans="4:44" ht="19" customHeight="1" thickBot="1" x14ac:dyDescent="0.45">
      <c r="D251" s="22" t="s">
        <v>32</v>
      </c>
      <c r="E251" s="20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31"/>
      <c r="AP251" s="39">
        <v>15</v>
      </c>
      <c r="AQ251" s="39"/>
      <c r="AR251" s="39"/>
    </row>
    <row r="252" spans="4:44" ht="19" customHeight="1" thickBot="1" x14ac:dyDescent="0.45"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32"/>
      <c r="AP252" s="26"/>
      <c r="AQ252" s="26"/>
      <c r="AR252" s="26"/>
    </row>
    <row r="253" spans="4:44" ht="19" customHeight="1" thickBot="1" x14ac:dyDescent="0.45">
      <c r="D253" s="21" t="s">
        <v>33</v>
      </c>
      <c r="E253" s="20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31"/>
      <c r="AP253" s="39">
        <v>3</v>
      </c>
      <c r="AQ253" s="39"/>
      <c r="AR253" s="39"/>
    </row>
    <row r="254" spans="4:44" ht="19" customHeight="1" thickBot="1" x14ac:dyDescent="0.45">
      <c r="D254" s="22" t="s">
        <v>34</v>
      </c>
      <c r="E254" s="20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31"/>
      <c r="AP254" s="39">
        <v>7</v>
      </c>
      <c r="AQ254" s="39"/>
      <c r="AR254" s="39"/>
    </row>
    <row r="255" spans="4:44" ht="19" customHeight="1" thickBot="1" x14ac:dyDescent="0.45">
      <c r="D255" s="22" t="s">
        <v>35</v>
      </c>
      <c r="E255" s="20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31"/>
      <c r="AP255" s="39">
        <v>2</v>
      </c>
      <c r="AQ255" s="39"/>
      <c r="AR255" s="39"/>
    </row>
    <row r="256" spans="4:44" ht="19" customHeight="1" thickBot="1" x14ac:dyDescent="0.45">
      <c r="D256" s="22" t="s">
        <v>36</v>
      </c>
      <c r="E256" s="20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31"/>
      <c r="AP256" s="39">
        <v>4</v>
      </c>
      <c r="AQ256" s="39"/>
      <c r="AR256" s="39"/>
    </row>
    <row r="257" spans="4:44" ht="19" customHeight="1" thickBot="1" x14ac:dyDescent="0.45">
      <c r="D257" s="22" t="s">
        <v>37</v>
      </c>
      <c r="E257" s="20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31"/>
      <c r="AP257" s="39">
        <v>2</v>
      </c>
      <c r="AQ257" s="39"/>
      <c r="AR257" s="39"/>
    </row>
    <row r="258" spans="4:44" ht="19" customHeight="1" thickBot="1" x14ac:dyDescent="0.45">
      <c r="D258" s="22" t="s">
        <v>38</v>
      </c>
      <c r="E258" s="20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31"/>
      <c r="AP258" s="39">
        <v>8</v>
      </c>
      <c r="AQ258" s="39"/>
      <c r="AR258" s="39"/>
    </row>
    <row r="259" spans="4:44" ht="19" customHeight="1" thickBot="1" x14ac:dyDescent="0.45"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33"/>
      <c r="AP259" s="34"/>
      <c r="AQ259" s="34"/>
      <c r="AR259" s="34"/>
    </row>
    <row r="260" spans="4:44" ht="19" customHeight="1" thickBot="1" x14ac:dyDescent="0.45">
      <c r="D260" s="21" t="s">
        <v>39</v>
      </c>
      <c r="E260" s="20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31"/>
      <c r="AP260" s="39">
        <v>3</v>
      </c>
      <c r="AQ260" s="39"/>
      <c r="AR260" s="39"/>
    </row>
    <row r="261" spans="4:44" ht="19" customHeight="1" thickBot="1" x14ac:dyDescent="0.45">
      <c r="D261" s="22" t="s">
        <v>40</v>
      </c>
      <c r="E261" s="20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31"/>
      <c r="AP261" s="39">
        <v>3</v>
      </c>
      <c r="AQ261" s="39"/>
      <c r="AR261" s="39"/>
    </row>
    <row r="262" spans="4:44" ht="19" customHeight="1" thickBot="1" x14ac:dyDescent="0.45">
      <c r="D262" s="22" t="s">
        <v>41</v>
      </c>
      <c r="E262" s="20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31"/>
      <c r="AP262" s="39">
        <v>2</v>
      </c>
      <c r="AQ262" s="39"/>
      <c r="AR262" s="39"/>
    </row>
    <row r="263" spans="4:44" ht="19" customHeight="1" thickBot="1" x14ac:dyDescent="0.45">
      <c r="D263" s="22" t="s">
        <v>42</v>
      </c>
      <c r="E263" s="20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31"/>
      <c r="AP263" s="39">
        <v>2</v>
      </c>
      <c r="AQ263" s="39"/>
      <c r="AR263" s="39"/>
    </row>
    <row r="264" spans="4:44" ht="19" customHeight="1" thickBot="1" x14ac:dyDescent="0.45"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32"/>
      <c r="AP264" s="26"/>
      <c r="AQ264" s="26"/>
      <c r="AR264" s="26"/>
    </row>
    <row r="265" spans="4:44" ht="19" customHeight="1" thickBot="1" x14ac:dyDescent="0.45">
      <c r="D265" s="21" t="s">
        <v>43</v>
      </c>
      <c r="E265" s="20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31"/>
      <c r="AP265" s="39">
        <v>2</v>
      </c>
      <c r="AQ265" s="39"/>
      <c r="AR265" s="39"/>
    </row>
    <row r="266" spans="4:44" ht="19" customHeight="1" thickBot="1" x14ac:dyDescent="0.45">
      <c r="D266" s="22" t="s">
        <v>44</v>
      </c>
      <c r="E266" s="20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31"/>
      <c r="AP266" s="39">
        <v>2</v>
      </c>
      <c r="AQ266" s="39"/>
      <c r="AR266" s="39"/>
    </row>
    <row r="267" spans="4:44" ht="19" customHeight="1" thickBot="1" x14ac:dyDescent="0.45">
      <c r="D267" s="22" t="s">
        <v>45</v>
      </c>
      <c r="E267" s="20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31"/>
      <c r="AP267" s="39">
        <v>1</v>
      </c>
      <c r="AQ267" s="39"/>
      <c r="AR267" s="39"/>
    </row>
    <row r="268" spans="4:44" ht="19" customHeight="1" thickBot="1" x14ac:dyDescent="0.45">
      <c r="D268" s="22" t="s">
        <v>46</v>
      </c>
      <c r="E268" s="20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31"/>
      <c r="AP268" s="39">
        <v>2</v>
      </c>
      <c r="AQ268" s="39"/>
      <c r="AR268" s="39"/>
    </row>
    <row r="269" spans="4:44" ht="19" customHeight="1" thickBot="1" x14ac:dyDescent="0.45">
      <c r="D269" s="22" t="s">
        <v>47</v>
      </c>
      <c r="E269" s="20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31"/>
      <c r="AP269" s="39">
        <v>2</v>
      </c>
      <c r="AQ269" s="39"/>
      <c r="AR269" s="39"/>
    </row>
    <row r="270" spans="4:44" ht="19" customHeight="1" thickBot="1" x14ac:dyDescent="0.45">
      <c r="D270" s="22" t="s">
        <v>48</v>
      </c>
      <c r="E270" s="20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31"/>
      <c r="AP270" s="39">
        <v>3</v>
      </c>
      <c r="AQ270" s="39"/>
      <c r="AR270" s="39"/>
    </row>
    <row r="271" spans="4:44" ht="19" customHeight="1" thickBot="1" x14ac:dyDescent="0.45">
      <c r="D271" s="22" t="s">
        <v>49</v>
      </c>
      <c r="E271" s="20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31"/>
      <c r="AP271" s="39">
        <v>2</v>
      </c>
      <c r="AQ271" s="39"/>
      <c r="AR271" s="39"/>
    </row>
    <row r="272" spans="4:44" ht="19" customHeight="1" thickBot="1" x14ac:dyDescent="0.45">
      <c r="D272" s="22" t="s">
        <v>50</v>
      </c>
      <c r="E272" s="20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31"/>
      <c r="AP272" s="39">
        <v>1</v>
      </c>
      <c r="AQ272" s="39"/>
      <c r="AR272" s="39"/>
    </row>
    <row r="273" spans="4:44" ht="19" customHeight="1" thickBot="1" x14ac:dyDescent="0.45">
      <c r="D273" s="22" t="s">
        <v>51</v>
      </c>
      <c r="E273" s="20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31"/>
      <c r="AP273" s="39">
        <v>1</v>
      </c>
      <c r="AQ273" s="39"/>
      <c r="AR273" s="39"/>
    </row>
    <row r="274" spans="4:44" ht="19" customHeight="1" thickBot="1" x14ac:dyDescent="0.45">
      <c r="D274" s="22" t="s">
        <v>52</v>
      </c>
      <c r="E274" s="20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31"/>
      <c r="AP274" s="39">
        <v>3</v>
      </c>
      <c r="AQ274" s="39"/>
      <c r="AR274" s="39"/>
    </row>
    <row r="275" spans="4:44" ht="19" customHeight="1" thickBot="1" x14ac:dyDescent="0.45">
      <c r="D275" s="22" t="s">
        <v>53</v>
      </c>
      <c r="E275" s="20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31"/>
      <c r="AP275" s="39">
        <v>2</v>
      </c>
      <c r="AQ275" s="39"/>
      <c r="AR275" s="39"/>
    </row>
    <row r="276" spans="4:44" ht="19" customHeight="1" thickBot="1" x14ac:dyDescent="0.45">
      <c r="D276" s="22" t="s">
        <v>54</v>
      </c>
      <c r="E276" s="20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31"/>
      <c r="AP276" s="39">
        <v>1</v>
      </c>
      <c r="AQ276" s="39"/>
      <c r="AR276" s="39"/>
    </row>
    <row r="277" spans="4:44" ht="19" customHeight="1" thickBot="1" x14ac:dyDescent="0.45">
      <c r="D277" s="22" t="s">
        <v>55</v>
      </c>
      <c r="E277" s="20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31"/>
      <c r="AP277" s="39">
        <v>1</v>
      </c>
      <c r="AQ277" s="39"/>
      <c r="AR277" s="39"/>
    </row>
    <row r="278" spans="4:44" ht="19" customHeight="1" thickBot="1" x14ac:dyDescent="0.45">
      <c r="D278" s="22" t="s">
        <v>56</v>
      </c>
      <c r="E278" s="20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31"/>
      <c r="AP278" s="39">
        <v>2</v>
      </c>
      <c r="AQ278" s="39"/>
      <c r="AR278" s="39"/>
    </row>
    <row r="279" spans="4:44" ht="19" customHeight="1" thickBot="1" x14ac:dyDescent="0.45">
      <c r="D279" s="22" t="s">
        <v>57</v>
      </c>
      <c r="E279" s="20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31"/>
      <c r="AP279" s="39">
        <v>2</v>
      </c>
      <c r="AQ279" s="39"/>
      <c r="AR279" s="39"/>
    </row>
    <row r="280" spans="4:44" ht="19" customHeight="1" x14ac:dyDescent="0.4">
      <c r="D280" s="8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30"/>
      <c r="AQ280" s="30"/>
      <c r="AR280" s="30"/>
    </row>
    <row r="281" spans="4:44" ht="19" customHeight="1" x14ac:dyDescent="0.4">
      <c r="D281" s="8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30"/>
      <c r="AQ281" s="30"/>
      <c r="AR281" s="30"/>
    </row>
    <row r="282" spans="4:44" ht="19" customHeight="1" x14ac:dyDescent="0.4">
      <c r="D282" s="8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30"/>
      <c r="AQ282" s="30"/>
      <c r="AR282" s="30"/>
    </row>
    <row r="283" spans="4:44" ht="19" customHeight="1" x14ac:dyDescent="0.4">
      <c r="D283" s="8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30"/>
      <c r="AQ283" s="30"/>
      <c r="AR283" s="30"/>
    </row>
    <row r="284" spans="4:44" ht="19" customHeight="1" x14ac:dyDescent="0.4">
      <c r="D284" s="8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30"/>
      <c r="AQ284" s="30"/>
      <c r="AR284" s="30"/>
    </row>
    <row r="285" spans="4:44" ht="19" customHeight="1" x14ac:dyDescent="0.4">
      <c r="D285" s="8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30"/>
      <c r="AQ285" s="30"/>
      <c r="AR285" s="30"/>
    </row>
    <row r="286" spans="4:44" ht="19" customHeight="1" x14ac:dyDescent="0.4">
      <c r="D286" s="9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30"/>
      <c r="AQ286" s="30"/>
      <c r="AR286" s="30"/>
    </row>
    <row r="287" spans="4:44" ht="19" customHeight="1" x14ac:dyDescent="0.4">
      <c r="D287" s="9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30"/>
      <c r="AQ287" s="30"/>
      <c r="AR287" s="30"/>
    </row>
    <row r="288" spans="4:44" ht="12" customHeight="1" x14ac:dyDescent="0.4"/>
    <row r="289" spans="4:44" s="10" customFormat="1" ht="19" customHeight="1" x14ac:dyDescent="0.4">
      <c r="D289" s="41">
        <f>DATE(CalendarYear,6,1)</f>
        <v>46174</v>
      </c>
      <c r="E289" s="16" t="str">
        <f>IF(DAY(JunSun1)=1,"",IF(AND(YEAR(JunSun1+1)=CalendarYear,MONTH(JunSun1+1)=6),JunSun1+1,""))</f>
        <v/>
      </c>
      <c r="F289" s="16">
        <f>IF(DAY(JunSun1)=1,"",IF(AND(YEAR(JunSun1+2)=CalendarYear,MONTH(JunSun1+2)=6),JunSun1+2,""))</f>
        <v>46174</v>
      </c>
      <c r="G289" s="16">
        <f>IF(DAY(JunSun1)=1,"",IF(AND(YEAR(JunSun1+3)=CalendarYear,MONTH(JunSun1+3)=6),JunSun1+3,""))</f>
        <v>46175</v>
      </c>
      <c r="H289" s="16">
        <f>IF(DAY(JunSun1)=1,"",IF(AND(YEAR(JunSun1+4)=CalendarYear,MONTH(JunSun1+4)=6),JunSun1+4,""))</f>
        <v>46176</v>
      </c>
      <c r="I289" s="16">
        <f>IF(DAY(JunSun1)=1,"",IF(AND(YEAR(JunSun1+5)=CalendarYear,MONTH(JunSun1+5)=6),JunSun1+5,""))</f>
        <v>46177</v>
      </c>
      <c r="J289" s="16">
        <f>IF(DAY(JunSun1)=1,"",IF(AND(YEAR(JunSun1+6)=CalendarYear,MONTH(JunSun1+6)=6),JunSun1+6,""))</f>
        <v>46178</v>
      </c>
      <c r="K289" s="16">
        <f>IF(DAY(JunSun1)=1,IF(AND(YEAR(JunSun1)=CalendarYear,MONTH(JunSun1)=6),JunSun1,""),IF(AND(YEAR(JunSun1+7)=CalendarYear,MONTH(JunSun1+7)=6),JunSun1+7,""))</f>
        <v>46179</v>
      </c>
      <c r="L289" s="16">
        <f>IF(DAY(JunSun1)=1,IF(AND(YEAR(JunSun1+1)=CalendarYear,MONTH(JunSun1+1)=6),JunSun1+1,""),IF(AND(YEAR(JunSun1+8)=CalendarYear,MONTH(JunSun1+8)=6),JunSun1+8,""))</f>
        <v>46180</v>
      </c>
      <c r="M289" s="16">
        <f>IF(DAY(JunSun1)=1,IF(AND(YEAR(JunSun1+2)=CalendarYear,MONTH(JunSun1+2)=6),JunSun1+2,""),IF(AND(YEAR(JunSun1+9)=CalendarYear,MONTH(JunSun1+9)=6),JunSun1+9,""))</f>
        <v>46181</v>
      </c>
      <c r="N289" s="16">
        <f>IF(DAY(JunSun1)=1,IF(AND(YEAR(JunSun1+3)=CalendarYear,MONTH(JunSun1+3)=6),JunSun1+3,""),IF(AND(YEAR(JunSun1+10)=CalendarYear,MONTH(JunSun1+10)=6),JunSun1+10,""))</f>
        <v>46182</v>
      </c>
      <c r="O289" s="16">
        <f>IF(DAY(JunSun1)=1,IF(AND(YEAR(JunSun1+4)=CalendarYear,MONTH(JunSun1+4)=6),JunSun1+4,""),IF(AND(YEAR(JunSun1+11)=CalendarYear,MONTH(JunSun1+11)=6),JunSun1+11,""))</f>
        <v>46183</v>
      </c>
      <c r="P289" s="16">
        <f>IF(DAY(JunSun1)=1,IF(AND(YEAR(JunSun1+5)=CalendarYear,MONTH(JunSun1+5)=6),JunSun1+5,""),IF(AND(YEAR(JunSun1+12)=CalendarYear,MONTH(JunSun1+12)=6),JunSun1+12,""))</f>
        <v>46184</v>
      </c>
      <c r="Q289" s="16">
        <f>IF(DAY(JunSun1)=1,IF(AND(YEAR(JunSun1+6)=CalendarYear,MONTH(JunSun1+6)=6),JunSun1+6,""),IF(AND(YEAR(JunSun1+13)=CalendarYear,MONTH(JunSun1+13)=6),JunSun1+13,""))</f>
        <v>46185</v>
      </c>
      <c r="R289" s="16">
        <f>IF(DAY(JunSun1)=1,IF(AND(YEAR(JunSun1+7)=CalendarYear,MONTH(JunSun1+7)=6),JunSun1+7,""),IF(AND(YEAR(JunSun1+14)=CalendarYear,MONTH(JunSun1+14)=6),JunSun1+14,""))</f>
        <v>46186</v>
      </c>
      <c r="S289" s="16">
        <f>IF(DAY(JunSun1)=1,IF(AND(YEAR(JunSun1+8)=CalendarYear,MONTH(JunSun1+8)=6),JunSun1+8,""),IF(AND(YEAR(JunSun1+15)=CalendarYear,MONTH(JunSun1+15)=6),JunSun1+15,""))</f>
        <v>46187</v>
      </c>
      <c r="T289" s="16">
        <f>IF(DAY(JunSun1)=1,IF(AND(YEAR(JunSun1+9)=CalendarYear,MONTH(JunSun1+9)=6),JunSun1+9,""),IF(AND(YEAR(JunSun1+16)=CalendarYear,MONTH(JunSun1+16)=6),JunSun1+16,""))</f>
        <v>46188</v>
      </c>
      <c r="U289" s="16">
        <f>IF(DAY(JunSun1)=1,IF(AND(YEAR(JunSun1+10)=CalendarYear,MONTH(JunSun1+10)=6),JunSun1+10,""),IF(AND(YEAR(JunSun1+17)=CalendarYear,MONTH(JunSun1+17)=6),JunSun1+17,""))</f>
        <v>46189</v>
      </c>
      <c r="V289" s="16">
        <f>IF(DAY(JunSun1)=1,IF(AND(YEAR(JunSun1+11)=CalendarYear,MONTH(JunSun1+11)=6),JunSun1+11,""),IF(AND(YEAR(JunSun1+18)=CalendarYear,MONTH(JunSun1+18)=6),JunSun1+18,""))</f>
        <v>46190</v>
      </c>
      <c r="W289" s="16">
        <f>IF(DAY(JunSun1)=1,IF(AND(YEAR(JunSun1+12)=CalendarYear,MONTH(JunSun1+12)=6),JunSun1+12,""),IF(AND(YEAR(JunSun1+19)=CalendarYear,MONTH(JunSun1+19)=6),JunSun1+19,""))</f>
        <v>46191</v>
      </c>
      <c r="X289" s="16">
        <f>IF(DAY(JunSun1)=1,IF(AND(YEAR(JunSun1+13)=CalendarYear,MONTH(JunSun1+13)=6),JunSun1+13,""),IF(AND(YEAR(JunSun1+20)=CalendarYear,MONTH(JunSun1+20)=6),JunSun1+20,""))</f>
        <v>46192</v>
      </c>
      <c r="Y289" s="16">
        <f>IF(DAY(JunSun1)=1,IF(AND(YEAR(JunSun1+14)=CalendarYear,MONTH(JunSun1+14)=6),JunSun1+14,""),IF(AND(YEAR(JunSun1+21)=CalendarYear,MONTH(JunSun1+21)=6),JunSun1+21,""))</f>
        <v>46193</v>
      </c>
      <c r="Z289" s="16">
        <f>IF(DAY(JunSun1)=1,IF(AND(YEAR(JunSun1+15)=CalendarYear,MONTH(JunSun1+15)=6),JunSun1+15,""),IF(AND(YEAR(JunSun1+22)=CalendarYear,MONTH(JunSun1+22)=6),JunSun1+22,""))</f>
        <v>46194</v>
      </c>
      <c r="AA289" s="16">
        <f>IF(DAY(JunSun1)=1,IF(AND(YEAR(JunSun1+16)=CalendarYear,MONTH(JunSun1+16)=6),JunSun1+16,""),IF(AND(YEAR(JunSun1+23)=CalendarYear,MONTH(JunSun1+23)=6),JunSun1+23,""))</f>
        <v>46195</v>
      </c>
      <c r="AB289" s="16">
        <f>IF(DAY(JunSun1)=1,IF(AND(YEAR(JunSun1+17)=CalendarYear,MONTH(JunSun1+17)=6),JunSun1+17,""),IF(AND(YEAR(JunSun1+24)=CalendarYear,MONTH(JunSun1+24)=6),JunSun1+24,""))</f>
        <v>46196</v>
      </c>
      <c r="AC289" s="16">
        <f>IF(DAY(JunSun1)=1,IF(AND(YEAR(JunSun1+18)=CalendarYear,MONTH(JunSun1+18)=6),JunSun1+18,""),IF(AND(YEAR(JunSun1+25)=CalendarYear,MONTH(JunSun1+25)=6),JunSun1+25,""))</f>
        <v>46197</v>
      </c>
      <c r="AD289" s="16">
        <f>IF(DAY(JunSun1)=1,IF(AND(YEAR(JunSun1+19)=CalendarYear,MONTH(JunSun1+19)=6),JunSun1+19,""),IF(AND(YEAR(JunSun1+26)=CalendarYear,MONTH(JunSun1+26)=6),JunSun1+26,""))</f>
        <v>46198</v>
      </c>
      <c r="AE289" s="16">
        <f>IF(DAY(JunSun1)=1,IF(AND(YEAR(JunSun1+20)=CalendarYear,MONTH(JunSun1+20)=6),JunSun1+20,""),IF(AND(YEAR(JunSun1+27)=CalendarYear,MONTH(JunSun1+27)=6),JunSun1+27,""))</f>
        <v>46199</v>
      </c>
      <c r="AF289" s="16">
        <f>IF(DAY(JunSun1)=1,IF(AND(YEAR(JunSun1+21)=CalendarYear,MONTH(JunSun1+21)=6),JunSun1+21,""),IF(AND(YEAR(JunSun1+28)=CalendarYear,MONTH(JunSun1+28)=6),JunSun1+28,""))</f>
        <v>46200</v>
      </c>
      <c r="AG289" s="16">
        <f>IF(DAY(JunSun1)=1,IF(AND(YEAR(JunSun1+22)=CalendarYear,MONTH(JunSun1+22)=6),JunSun1+22,""),IF(AND(YEAR(JunSun1+29)=CalendarYear,MONTH(JunSun1+29)=6),JunSun1+29,""))</f>
        <v>46201</v>
      </c>
      <c r="AH289" s="16">
        <f>IF(DAY(JunSun1)=1,IF(AND(YEAR(JunSun1+23)=CalendarYear,MONTH(JunSun1+23)=6),JunSun1+23,""),IF(AND(YEAR(JunSun1+30)=CalendarYear,MONTH(JunSun1+30)=6),JunSun1+30,""))</f>
        <v>46202</v>
      </c>
      <c r="AI289" s="16">
        <f>IF(DAY(JunSun1)=1,IF(AND(YEAR(JunSun1+24)=CalendarYear,MONTH(JunSun1+24)=6),JunSun1+24,""),IF(AND(YEAR(JunSun1+31)=CalendarYear,MONTH(JunSun1+31)=6),JunSun1+31,""))</f>
        <v>46203</v>
      </c>
      <c r="AJ289" s="16" t="str">
        <f>IF(DAY(JunSun1)=1,IF(AND(YEAR(JunSun1+25)=CalendarYear,MONTH(JunSun1+25)=6),JunSun1+25,""),IF(AND(YEAR(JunSun1+32)=CalendarYear,MONTH(JunSun1+32)=6),JunSun1+32,""))</f>
        <v/>
      </c>
      <c r="AK289" s="16" t="str">
        <f>IF(DAY(JunSun1)=1,IF(AND(YEAR(JunSun1+26)=CalendarYear,MONTH(JunSun1+26)=6),JunSun1+26,""),IF(AND(YEAR(JunSun1+33)=CalendarYear,MONTH(JunSun1+33)=6),JunSun1+33,""))</f>
        <v/>
      </c>
      <c r="AL289" s="16" t="str">
        <f>IF(DAY(JunSun1)=1,IF(AND(YEAR(JunSun1+27)=CalendarYear,MONTH(JunSun1+27)=6),JunSun1+27,""),IF(AND(YEAR(JunSun1+34)=CalendarYear,MONTH(JunSun1+34)=6),JunSun1+34,""))</f>
        <v/>
      </c>
      <c r="AM289" s="16" t="str">
        <f>IF(DAY(JunSun1)=1,IF(AND(YEAR(JunSun1+28)=CalendarYear,MONTH(JunSun1+28)=6),JunSun1+28,""),IF(AND(YEAR(JunSun1+35)=CalendarYear,MONTH(JunSun1+35)=6),JunSun1+35,""))</f>
        <v/>
      </c>
      <c r="AN289" s="16" t="str">
        <f>IF(DAY(JunSun1)=1,IF(AND(YEAR(JunSun1+29)=CalendarYear,MONTH(JunSun1+29)=6),JunSun1+29,""),IF(AND(YEAR(JunSun1+36)=CalendarYear,MONTH(JunSun1+36)=6),JunSun1+36,""))</f>
        <v/>
      </c>
      <c r="AO289" s="17" t="str">
        <f>IF(DAY(JunSun1)=1,IF(AND(YEAR(JunSun1+30)=CalendarYear,MONTH(JunSun1+30)=6),JunSun1+30,""),IF(AND(YEAR(JunSun1+37)=CalendarYear,MONTH(JunSun1+37)=6),JunSun1+37,""))</f>
        <v/>
      </c>
      <c r="AP289" s="29"/>
      <c r="AQ289" s="29"/>
      <c r="AR289" s="29"/>
    </row>
    <row r="290" spans="4:44" s="10" customFormat="1" ht="19" customHeight="1" thickBot="1" x14ac:dyDescent="0.45">
      <c r="D290" s="43"/>
      <c r="E290" s="18" t="s">
        <v>2</v>
      </c>
      <c r="F290" s="18" t="s">
        <v>3</v>
      </c>
      <c r="G290" s="18" t="s">
        <v>4</v>
      </c>
      <c r="H290" s="18" t="s">
        <v>5</v>
      </c>
      <c r="I290" s="18" t="s">
        <v>6</v>
      </c>
      <c r="J290" s="18" t="s">
        <v>7</v>
      </c>
      <c r="K290" s="18" t="s">
        <v>8</v>
      </c>
      <c r="L290" s="18" t="s">
        <v>2</v>
      </c>
      <c r="M290" s="18" t="s">
        <v>3</v>
      </c>
      <c r="N290" s="18" t="s">
        <v>4</v>
      </c>
      <c r="O290" s="18" t="s">
        <v>5</v>
      </c>
      <c r="P290" s="18" t="s">
        <v>6</v>
      </c>
      <c r="Q290" s="18" t="s">
        <v>7</v>
      </c>
      <c r="R290" s="18" t="s">
        <v>8</v>
      </c>
      <c r="S290" s="18" t="s">
        <v>2</v>
      </c>
      <c r="T290" s="18" t="s">
        <v>3</v>
      </c>
      <c r="U290" s="18" t="s">
        <v>4</v>
      </c>
      <c r="V290" s="18" t="s">
        <v>5</v>
      </c>
      <c r="W290" s="18" t="s">
        <v>6</v>
      </c>
      <c r="X290" s="18" t="s">
        <v>7</v>
      </c>
      <c r="Y290" s="18" t="s">
        <v>8</v>
      </c>
      <c r="Z290" s="18" t="s">
        <v>2</v>
      </c>
      <c r="AA290" s="18" t="s">
        <v>3</v>
      </c>
      <c r="AB290" s="18" t="s">
        <v>4</v>
      </c>
      <c r="AC290" s="18" t="s">
        <v>5</v>
      </c>
      <c r="AD290" s="18" t="s">
        <v>6</v>
      </c>
      <c r="AE290" s="18" t="s">
        <v>7</v>
      </c>
      <c r="AF290" s="18" t="s">
        <v>8</v>
      </c>
      <c r="AG290" s="18" t="s">
        <v>2</v>
      </c>
      <c r="AH290" s="18" t="s">
        <v>3</v>
      </c>
      <c r="AI290" s="18" t="s">
        <v>4</v>
      </c>
      <c r="AJ290" s="18" t="s">
        <v>5</v>
      </c>
      <c r="AK290" s="18" t="s">
        <v>6</v>
      </c>
      <c r="AL290" s="18" t="s">
        <v>7</v>
      </c>
      <c r="AM290" s="18" t="s">
        <v>8</v>
      </c>
      <c r="AN290" s="18" t="s">
        <v>2</v>
      </c>
      <c r="AO290" s="19" t="s">
        <v>3</v>
      </c>
      <c r="AP290" s="23"/>
      <c r="AQ290" s="23"/>
      <c r="AR290" s="23"/>
    </row>
    <row r="291" spans="4:44" ht="19" customHeight="1" thickBot="1" x14ac:dyDescent="0.45">
      <c r="D291" s="21" t="s">
        <v>10</v>
      </c>
      <c r="E291" s="20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31"/>
      <c r="AP291" s="39">
        <v>2</v>
      </c>
      <c r="AQ291" s="39"/>
      <c r="AR291" s="39"/>
    </row>
    <row r="292" spans="4:44" ht="19" customHeight="1" thickBot="1" x14ac:dyDescent="0.45">
      <c r="D292" s="22" t="s">
        <v>11</v>
      </c>
      <c r="E292" s="20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31"/>
      <c r="AP292" s="39">
        <v>32</v>
      </c>
      <c r="AQ292" s="39"/>
      <c r="AR292" s="39"/>
    </row>
    <row r="293" spans="4:44" ht="19" customHeight="1" thickBot="1" x14ac:dyDescent="0.45">
      <c r="D293" s="22" t="s">
        <v>12</v>
      </c>
      <c r="E293" s="20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31"/>
      <c r="AP293" s="39">
        <v>61</v>
      </c>
      <c r="AQ293" s="39"/>
      <c r="AR293" s="39"/>
    </row>
    <row r="294" spans="4:44" ht="19" customHeight="1" thickBot="1" x14ac:dyDescent="0.45">
      <c r="D294" s="22" t="s">
        <v>13</v>
      </c>
      <c r="E294" s="20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31"/>
      <c r="AP294" s="39">
        <v>7</v>
      </c>
      <c r="AQ294" s="39"/>
      <c r="AR294" s="39"/>
    </row>
    <row r="295" spans="4:44" ht="19" customHeight="1" thickBot="1" x14ac:dyDescent="0.45">
      <c r="D295" s="22" t="s">
        <v>14</v>
      </c>
      <c r="E295" s="20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31"/>
      <c r="AP295" s="39">
        <v>7</v>
      </c>
      <c r="AQ295" s="39"/>
      <c r="AR295" s="39"/>
    </row>
    <row r="296" spans="4:44" ht="19" customHeight="1" thickBot="1" x14ac:dyDescent="0.45">
      <c r="D296" s="22" t="s">
        <v>15</v>
      </c>
      <c r="E296" s="20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31"/>
      <c r="AP296" s="39">
        <v>10</v>
      </c>
      <c r="AQ296" s="39"/>
      <c r="AR296" s="39"/>
    </row>
    <row r="297" spans="4:44" ht="19" customHeight="1" thickBot="1" x14ac:dyDescent="0.45">
      <c r="D297" s="22" t="s">
        <v>16</v>
      </c>
      <c r="E297" s="20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31"/>
      <c r="AP297" s="39">
        <v>2</v>
      </c>
      <c r="AQ297" s="39"/>
      <c r="AR297" s="39"/>
    </row>
    <row r="298" spans="4:44" ht="19" customHeight="1" thickBot="1" x14ac:dyDescent="0.45">
      <c r="D298" s="22" t="s">
        <v>17</v>
      </c>
      <c r="E298" s="20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31"/>
      <c r="AP298" s="39">
        <v>4</v>
      </c>
      <c r="AQ298" s="39"/>
      <c r="AR298" s="39"/>
    </row>
    <row r="299" spans="4:44" ht="19" customHeight="1" thickBot="1" x14ac:dyDescent="0.45">
      <c r="D299" s="22" t="s">
        <v>18</v>
      </c>
      <c r="E299" s="20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31"/>
      <c r="AP299" s="39">
        <v>2</v>
      </c>
      <c r="AQ299" s="39"/>
      <c r="AR299" s="39"/>
    </row>
    <row r="300" spans="4:44" ht="19" customHeight="1" thickBot="1" x14ac:dyDescent="0.45">
      <c r="D300" s="22" t="s">
        <v>19</v>
      </c>
      <c r="E300" s="20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31"/>
      <c r="AP300" s="39">
        <v>6</v>
      </c>
      <c r="AQ300" s="39"/>
      <c r="AR300" s="39"/>
    </row>
    <row r="301" spans="4:44" ht="19" customHeight="1" thickBot="1" x14ac:dyDescent="0.45">
      <c r="D301" s="22" t="s">
        <v>20</v>
      </c>
      <c r="E301" s="20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31"/>
      <c r="AP301" s="39">
        <v>13</v>
      </c>
      <c r="AQ301" s="39"/>
      <c r="AR301" s="39"/>
    </row>
    <row r="302" spans="4:44" ht="19" customHeight="1" thickBot="1" x14ac:dyDescent="0.45">
      <c r="D302" s="22" t="s">
        <v>21</v>
      </c>
      <c r="E302" s="20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31"/>
      <c r="AP302" s="39">
        <v>1</v>
      </c>
      <c r="AQ302" s="39"/>
      <c r="AR302" s="39"/>
    </row>
    <row r="303" spans="4:44" ht="19" customHeight="1" thickBot="1" x14ac:dyDescent="0.45">
      <c r="D303" s="22" t="s">
        <v>22</v>
      </c>
      <c r="E303" s="20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31"/>
      <c r="AP303" s="39">
        <v>6</v>
      </c>
      <c r="AQ303" s="39"/>
      <c r="AR303" s="39"/>
    </row>
    <row r="304" spans="4:44" ht="19" customHeight="1" thickBot="1" x14ac:dyDescent="0.45"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</row>
    <row r="305" spans="4:44" ht="19" customHeight="1" thickBot="1" x14ac:dyDescent="0.45">
      <c r="D305" s="21" t="s">
        <v>23</v>
      </c>
      <c r="E305" s="20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31"/>
      <c r="AP305" s="39" t="s">
        <v>24</v>
      </c>
      <c r="AQ305" s="39"/>
      <c r="AR305" s="39"/>
    </row>
    <row r="306" spans="4:44" ht="19" customHeight="1" thickBot="1" x14ac:dyDescent="0.45">
      <c r="D306" s="22" t="s">
        <v>25</v>
      </c>
      <c r="E306" s="20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31"/>
      <c r="AP306" s="39" t="s">
        <v>26</v>
      </c>
      <c r="AQ306" s="39"/>
      <c r="AR306" s="39"/>
    </row>
    <row r="307" spans="4:44" ht="19" customHeight="1" thickBot="1" x14ac:dyDescent="0.45">
      <c r="D307" s="22" t="s">
        <v>27</v>
      </c>
      <c r="E307" s="20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31"/>
      <c r="AP307" s="39" t="s">
        <v>28</v>
      </c>
      <c r="AQ307" s="39"/>
      <c r="AR307" s="39"/>
    </row>
    <row r="308" spans="4:44" ht="19" customHeight="1" thickBot="1" x14ac:dyDescent="0.45">
      <c r="D308" s="22" t="s">
        <v>29</v>
      </c>
      <c r="E308" s="20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31"/>
      <c r="AP308" s="39">
        <v>34</v>
      </c>
      <c r="AQ308" s="39"/>
      <c r="AR308" s="39"/>
    </row>
    <row r="309" spans="4:44" ht="19" customHeight="1" thickBot="1" x14ac:dyDescent="0.45">
      <c r="D309" s="22" t="s">
        <v>30</v>
      </c>
      <c r="E309" s="20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31"/>
      <c r="AP309" s="39">
        <v>13</v>
      </c>
      <c r="AQ309" s="39"/>
      <c r="AR309" s="39"/>
    </row>
    <row r="310" spans="4:44" ht="19" customHeight="1" thickBot="1" x14ac:dyDescent="0.45">
      <c r="D310" s="22" t="s">
        <v>31</v>
      </c>
      <c r="E310" s="20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31"/>
      <c r="AP310" s="39">
        <v>16</v>
      </c>
      <c r="AQ310" s="39"/>
      <c r="AR310" s="39"/>
    </row>
    <row r="311" spans="4:44" ht="19" customHeight="1" thickBot="1" x14ac:dyDescent="0.45">
      <c r="D311" s="22" t="s">
        <v>32</v>
      </c>
      <c r="E311" s="20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31"/>
      <c r="AP311" s="39">
        <v>15</v>
      </c>
      <c r="AQ311" s="39"/>
      <c r="AR311" s="39"/>
    </row>
    <row r="312" spans="4:44" ht="19" customHeight="1" thickBot="1" x14ac:dyDescent="0.45"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32"/>
      <c r="AP312" s="26"/>
      <c r="AQ312" s="26"/>
      <c r="AR312" s="26"/>
    </row>
    <row r="313" spans="4:44" ht="19" customHeight="1" thickBot="1" x14ac:dyDescent="0.45">
      <c r="D313" s="21" t="s">
        <v>33</v>
      </c>
      <c r="E313" s="20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31"/>
      <c r="AP313" s="39">
        <v>3</v>
      </c>
      <c r="AQ313" s="39"/>
      <c r="AR313" s="39"/>
    </row>
    <row r="314" spans="4:44" ht="19" customHeight="1" thickBot="1" x14ac:dyDescent="0.45">
      <c r="D314" s="22" t="s">
        <v>34</v>
      </c>
      <c r="E314" s="20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31"/>
      <c r="AP314" s="39">
        <v>7</v>
      </c>
      <c r="AQ314" s="39"/>
      <c r="AR314" s="39"/>
    </row>
    <row r="315" spans="4:44" ht="19" customHeight="1" thickBot="1" x14ac:dyDescent="0.45">
      <c r="D315" s="22" t="s">
        <v>35</v>
      </c>
      <c r="E315" s="20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31"/>
      <c r="AP315" s="39">
        <v>2</v>
      </c>
      <c r="AQ315" s="39"/>
      <c r="AR315" s="39"/>
    </row>
    <row r="316" spans="4:44" ht="19" customHeight="1" thickBot="1" x14ac:dyDescent="0.45">
      <c r="D316" s="22" t="s">
        <v>36</v>
      </c>
      <c r="E316" s="20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31"/>
      <c r="AP316" s="39">
        <v>4</v>
      </c>
      <c r="AQ316" s="39"/>
      <c r="AR316" s="39"/>
    </row>
    <row r="317" spans="4:44" ht="19" customHeight="1" thickBot="1" x14ac:dyDescent="0.45">
      <c r="D317" s="22" t="s">
        <v>37</v>
      </c>
      <c r="E317" s="20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31"/>
      <c r="AP317" s="39">
        <v>2</v>
      </c>
      <c r="AQ317" s="39"/>
      <c r="AR317" s="39"/>
    </row>
    <row r="318" spans="4:44" ht="19" customHeight="1" thickBot="1" x14ac:dyDescent="0.45">
      <c r="D318" s="22" t="s">
        <v>38</v>
      </c>
      <c r="E318" s="20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31"/>
      <c r="AP318" s="39">
        <v>8</v>
      </c>
      <c r="AQ318" s="39"/>
      <c r="AR318" s="39"/>
    </row>
    <row r="319" spans="4:44" ht="19" customHeight="1" thickBot="1" x14ac:dyDescent="0.45"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33"/>
      <c r="AP319" s="34"/>
      <c r="AQ319" s="34"/>
      <c r="AR319" s="34"/>
    </row>
    <row r="320" spans="4:44" ht="19" customHeight="1" thickBot="1" x14ac:dyDescent="0.45">
      <c r="D320" s="21" t="s">
        <v>39</v>
      </c>
      <c r="E320" s="20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31"/>
      <c r="AP320" s="39">
        <v>3</v>
      </c>
      <c r="AQ320" s="39"/>
      <c r="AR320" s="39"/>
    </row>
    <row r="321" spans="4:44" ht="19" customHeight="1" thickBot="1" x14ac:dyDescent="0.45">
      <c r="D321" s="22" t="s">
        <v>40</v>
      </c>
      <c r="E321" s="20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31"/>
      <c r="AP321" s="39">
        <v>3</v>
      </c>
      <c r="AQ321" s="39"/>
      <c r="AR321" s="39"/>
    </row>
    <row r="322" spans="4:44" ht="19" customHeight="1" thickBot="1" x14ac:dyDescent="0.45">
      <c r="D322" s="22" t="s">
        <v>41</v>
      </c>
      <c r="E322" s="20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31"/>
      <c r="AP322" s="39">
        <v>2</v>
      </c>
      <c r="AQ322" s="39"/>
      <c r="AR322" s="39"/>
    </row>
    <row r="323" spans="4:44" ht="19" customHeight="1" thickBot="1" x14ac:dyDescent="0.45">
      <c r="D323" s="22" t="s">
        <v>42</v>
      </c>
      <c r="E323" s="20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31"/>
      <c r="AP323" s="39">
        <v>2</v>
      </c>
      <c r="AQ323" s="39"/>
      <c r="AR323" s="39"/>
    </row>
    <row r="324" spans="4:44" ht="19" customHeight="1" thickBot="1" x14ac:dyDescent="0.45"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32"/>
      <c r="AP324" s="26"/>
      <c r="AQ324" s="26"/>
      <c r="AR324" s="26"/>
    </row>
    <row r="325" spans="4:44" ht="19" customHeight="1" thickBot="1" x14ac:dyDescent="0.45">
      <c r="D325" s="21" t="s">
        <v>43</v>
      </c>
      <c r="E325" s="20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31"/>
      <c r="AP325" s="39">
        <v>2</v>
      </c>
      <c r="AQ325" s="39"/>
      <c r="AR325" s="39"/>
    </row>
    <row r="326" spans="4:44" ht="19" customHeight="1" thickBot="1" x14ac:dyDescent="0.45">
      <c r="D326" s="22" t="s">
        <v>44</v>
      </c>
      <c r="E326" s="20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31"/>
      <c r="AP326" s="39">
        <v>2</v>
      </c>
      <c r="AQ326" s="39"/>
      <c r="AR326" s="39"/>
    </row>
    <row r="327" spans="4:44" ht="19" customHeight="1" thickBot="1" x14ac:dyDescent="0.45">
      <c r="D327" s="22" t="s">
        <v>45</v>
      </c>
      <c r="E327" s="20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31"/>
      <c r="AP327" s="39">
        <v>1</v>
      </c>
      <c r="AQ327" s="39"/>
      <c r="AR327" s="39"/>
    </row>
    <row r="328" spans="4:44" ht="19" customHeight="1" thickBot="1" x14ac:dyDescent="0.45">
      <c r="D328" s="22" t="s">
        <v>46</v>
      </c>
      <c r="E328" s="20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31"/>
      <c r="AP328" s="39">
        <v>2</v>
      </c>
      <c r="AQ328" s="39"/>
      <c r="AR328" s="39"/>
    </row>
    <row r="329" spans="4:44" ht="19" customHeight="1" thickBot="1" x14ac:dyDescent="0.45">
      <c r="D329" s="22" t="s">
        <v>47</v>
      </c>
      <c r="E329" s="20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31"/>
      <c r="AP329" s="39">
        <v>2</v>
      </c>
      <c r="AQ329" s="39"/>
      <c r="AR329" s="39"/>
    </row>
    <row r="330" spans="4:44" ht="19" customHeight="1" thickBot="1" x14ac:dyDescent="0.45">
      <c r="D330" s="22" t="s">
        <v>48</v>
      </c>
      <c r="E330" s="20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31"/>
      <c r="AP330" s="39">
        <v>3</v>
      </c>
      <c r="AQ330" s="39"/>
      <c r="AR330" s="39"/>
    </row>
    <row r="331" spans="4:44" ht="19" customHeight="1" thickBot="1" x14ac:dyDescent="0.45">
      <c r="D331" s="22" t="s">
        <v>49</v>
      </c>
      <c r="E331" s="20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31"/>
      <c r="AP331" s="39">
        <v>2</v>
      </c>
      <c r="AQ331" s="39"/>
      <c r="AR331" s="39"/>
    </row>
    <row r="332" spans="4:44" ht="19" customHeight="1" thickBot="1" x14ac:dyDescent="0.45">
      <c r="D332" s="22" t="s">
        <v>50</v>
      </c>
      <c r="E332" s="20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31"/>
      <c r="AP332" s="39">
        <v>1</v>
      </c>
      <c r="AQ332" s="39"/>
      <c r="AR332" s="39"/>
    </row>
    <row r="333" spans="4:44" ht="19" customHeight="1" thickBot="1" x14ac:dyDescent="0.45">
      <c r="D333" s="22" t="s">
        <v>51</v>
      </c>
      <c r="E333" s="20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31"/>
      <c r="AP333" s="39">
        <v>1</v>
      </c>
      <c r="AQ333" s="39"/>
      <c r="AR333" s="39"/>
    </row>
    <row r="334" spans="4:44" ht="19" customHeight="1" thickBot="1" x14ac:dyDescent="0.45">
      <c r="D334" s="22" t="s">
        <v>52</v>
      </c>
      <c r="E334" s="20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31"/>
      <c r="AP334" s="39">
        <v>3</v>
      </c>
      <c r="AQ334" s="39"/>
      <c r="AR334" s="39"/>
    </row>
    <row r="335" spans="4:44" ht="19" customHeight="1" thickBot="1" x14ac:dyDescent="0.45">
      <c r="D335" s="22" t="s">
        <v>53</v>
      </c>
      <c r="E335" s="20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31"/>
      <c r="AP335" s="39">
        <v>2</v>
      </c>
      <c r="AQ335" s="39"/>
      <c r="AR335" s="39"/>
    </row>
    <row r="336" spans="4:44" ht="19" customHeight="1" thickBot="1" x14ac:dyDescent="0.45">
      <c r="D336" s="22" t="s">
        <v>54</v>
      </c>
      <c r="E336" s="20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31"/>
      <c r="AP336" s="39">
        <v>1</v>
      </c>
      <c r="AQ336" s="39"/>
      <c r="AR336" s="39"/>
    </row>
    <row r="337" spans="4:44" ht="19" customHeight="1" thickBot="1" x14ac:dyDescent="0.45">
      <c r="D337" s="22" t="s">
        <v>55</v>
      </c>
      <c r="E337" s="20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31"/>
      <c r="AP337" s="39">
        <v>1</v>
      </c>
      <c r="AQ337" s="39"/>
      <c r="AR337" s="39"/>
    </row>
    <row r="338" spans="4:44" ht="19" customHeight="1" thickBot="1" x14ac:dyDescent="0.45">
      <c r="D338" s="22" t="s">
        <v>56</v>
      </c>
      <c r="E338" s="20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31"/>
      <c r="AP338" s="39">
        <v>2</v>
      </c>
      <c r="AQ338" s="39"/>
      <c r="AR338" s="39"/>
    </row>
    <row r="339" spans="4:44" ht="19" customHeight="1" thickBot="1" x14ac:dyDescent="0.45">
      <c r="D339" s="22" t="s">
        <v>57</v>
      </c>
      <c r="E339" s="20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31"/>
      <c r="AP339" s="39">
        <v>2</v>
      </c>
      <c r="AQ339" s="39"/>
      <c r="AR339" s="39"/>
    </row>
    <row r="340" spans="4:44" ht="19" customHeight="1" x14ac:dyDescent="0.4">
      <c r="D340" s="8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30"/>
      <c r="AQ340" s="30"/>
      <c r="AR340" s="30"/>
    </row>
    <row r="341" spans="4:44" ht="19" customHeight="1" x14ac:dyDescent="0.4">
      <c r="D341" s="8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30"/>
      <c r="AQ341" s="30"/>
      <c r="AR341" s="30"/>
    </row>
    <row r="342" spans="4:44" ht="19" customHeight="1" x14ac:dyDescent="0.4">
      <c r="D342" s="8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30"/>
      <c r="AQ342" s="30"/>
      <c r="AR342" s="30"/>
    </row>
    <row r="343" spans="4:44" ht="19" customHeight="1" x14ac:dyDescent="0.4">
      <c r="D343" s="8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30"/>
      <c r="AQ343" s="30"/>
      <c r="AR343" s="30"/>
    </row>
    <row r="344" spans="4:44" ht="19" customHeight="1" x14ac:dyDescent="0.4">
      <c r="D344" s="8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30"/>
      <c r="AQ344" s="30"/>
      <c r="AR344" s="30"/>
    </row>
    <row r="345" spans="4:44" ht="19" customHeight="1" x14ac:dyDescent="0.4">
      <c r="D345" s="8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30"/>
      <c r="AQ345" s="30"/>
      <c r="AR345" s="30"/>
    </row>
    <row r="346" spans="4:44" ht="19" customHeight="1" x14ac:dyDescent="0.4">
      <c r="D346" s="9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30"/>
      <c r="AQ346" s="30"/>
      <c r="AR346" s="30"/>
    </row>
    <row r="347" spans="4:44" ht="19" customHeight="1" x14ac:dyDescent="0.4">
      <c r="D347" s="9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30"/>
      <c r="AQ347" s="30"/>
      <c r="AR347" s="30"/>
    </row>
    <row r="348" spans="4:44" ht="12" customHeight="1" x14ac:dyDescent="0.4"/>
    <row r="349" spans="4:44" s="10" customFormat="1" ht="19" customHeight="1" x14ac:dyDescent="0.4">
      <c r="D349" s="41">
        <f>DATE(CalendarYear,7,1)</f>
        <v>46204</v>
      </c>
      <c r="E349" s="16" t="str">
        <f>IF(DAY(JulSun1)=1,"",IF(AND(YEAR(JulSun1+1)=CalendarYear,MONTH(JulSun1+1)=7),JulSun1+1,""))</f>
        <v/>
      </c>
      <c r="F349" s="16" t="str">
        <f>IF(DAY(JulSun1)=1,"",IF(AND(YEAR(JulSun1+2)=CalendarYear,MONTH(JulSun1+2)=7),JulSun1+2,""))</f>
        <v/>
      </c>
      <c r="G349" s="16" t="str">
        <f>IF(DAY(JulSun1)=1,"",IF(AND(YEAR(JulSun1+3)=CalendarYear,MONTH(JulSun1+3)=7),JulSun1+3,""))</f>
        <v/>
      </c>
      <c r="H349" s="16">
        <f>IF(DAY(JulSun1)=1,"",IF(AND(YEAR(JulSun1+4)=CalendarYear,MONTH(JulSun1+4)=7),JulSun1+4,""))</f>
        <v>46204</v>
      </c>
      <c r="I349" s="16">
        <f>IF(DAY(JulSun1)=1,"",IF(AND(YEAR(JulSun1+5)=CalendarYear,MONTH(JulSun1+5)=7),JulSun1+5,""))</f>
        <v>46205</v>
      </c>
      <c r="J349" s="16">
        <f>IF(DAY(JulSun1)=1,"",IF(AND(YEAR(JulSun1+6)=CalendarYear,MONTH(JulSun1+6)=7),JulSun1+6,""))</f>
        <v>46206</v>
      </c>
      <c r="K349" s="16">
        <f>IF(DAY(JulSun1)=1,IF(AND(YEAR(JulSun1)=CalendarYear,MONTH(JulSun1)=7),JulSun1,""),IF(AND(YEAR(JulSun1+7)=CalendarYear,MONTH(JulSun1+7)=7),JulSun1+7,""))</f>
        <v>46207</v>
      </c>
      <c r="L349" s="16">
        <f>IF(DAY(JulSun1)=1,IF(AND(YEAR(JulSun1+1)=CalendarYear,MONTH(JulSun1+1)=7),JulSun1+1,""),IF(AND(YEAR(JulSun1+8)=CalendarYear,MONTH(JulSun1+8)=7),JulSun1+8,""))</f>
        <v>46208</v>
      </c>
      <c r="M349" s="16">
        <f>IF(DAY(JulSun1)=1,IF(AND(YEAR(JulSun1+2)=CalendarYear,MONTH(JulSun1+2)=7),JulSun1+2,""),IF(AND(YEAR(JulSun1+9)=CalendarYear,MONTH(JulSun1+9)=7),JulSun1+9,""))</f>
        <v>46209</v>
      </c>
      <c r="N349" s="16">
        <f>IF(DAY(JulSun1)=1,IF(AND(YEAR(JulSun1+3)=CalendarYear,MONTH(JulSun1+3)=7),JulSun1+3,""),IF(AND(YEAR(JulSun1+10)=CalendarYear,MONTH(JulSun1+10)=7),JulSun1+10,""))</f>
        <v>46210</v>
      </c>
      <c r="O349" s="16">
        <f>IF(DAY(JulSun1)=1,IF(AND(YEAR(JulSun1+4)=CalendarYear,MONTH(JulSun1+4)=7),JulSun1+4,""),IF(AND(YEAR(JulSun1+11)=CalendarYear,MONTH(JulSun1+11)=7),JulSun1+11,""))</f>
        <v>46211</v>
      </c>
      <c r="P349" s="16">
        <f>IF(DAY(JulSun1)=1,IF(AND(YEAR(JulSun1+5)=CalendarYear,MONTH(JulSun1+5)=7),JulSun1+5,""),IF(AND(YEAR(JulSun1+12)=CalendarYear,MONTH(JulSun1+12)=7),JulSun1+12,""))</f>
        <v>46212</v>
      </c>
      <c r="Q349" s="16">
        <f>IF(DAY(JulSun1)=1,IF(AND(YEAR(JulSun1+6)=CalendarYear,MONTH(JulSun1+6)=7),JulSun1+6,""),IF(AND(YEAR(JulSun1+13)=CalendarYear,MONTH(JulSun1+13)=7),JulSun1+13,""))</f>
        <v>46213</v>
      </c>
      <c r="R349" s="16">
        <f>IF(DAY(JulSun1)=1,IF(AND(YEAR(JulSun1+7)=CalendarYear,MONTH(JulSun1+7)=7),JulSun1+7,""),IF(AND(YEAR(JulSun1+14)=CalendarYear,MONTH(JulSun1+14)=7),JulSun1+14,""))</f>
        <v>46214</v>
      </c>
      <c r="S349" s="16">
        <f>IF(DAY(JulSun1)=1,IF(AND(YEAR(JulSun1+8)=CalendarYear,MONTH(JulSun1+8)=7),JulSun1+8,""),IF(AND(YEAR(JulSun1+15)=CalendarYear,MONTH(JulSun1+15)=7),JulSun1+15,""))</f>
        <v>46215</v>
      </c>
      <c r="T349" s="16">
        <f>IF(DAY(JulSun1)=1,IF(AND(YEAR(JulSun1+9)=CalendarYear,MONTH(JulSun1+9)=7),JulSun1+9,""),IF(AND(YEAR(JulSun1+16)=CalendarYear,MONTH(JulSun1+16)=7),JulSun1+16,""))</f>
        <v>46216</v>
      </c>
      <c r="U349" s="16">
        <f>IF(DAY(JulSun1)=1,IF(AND(YEAR(JulSun1+10)=CalendarYear,MONTH(JulSun1+10)=7),JulSun1+10,""),IF(AND(YEAR(JulSun1+17)=CalendarYear,MONTH(JulSun1+17)=7),JulSun1+17,""))</f>
        <v>46217</v>
      </c>
      <c r="V349" s="16">
        <f>IF(DAY(JulSun1)=1,IF(AND(YEAR(JulSun1+11)=CalendarYear,MONTH(JulSun1+11)=7),JulSun1+11,""),IF(AND(YEAR(JulSun1+18)=CalendarYear,MONTH(JulSun1+18)=7),JulSun1+18,""))</f>
        <v>46218</v>
      </c>
      <c r="W349" s="16">
        <f>IF(DAY(JulSun1)=1,IF(AND(YEAR(JulSun1+12)=CalendarYear,MONTH(JulSun1+12)=7),JulSun1+12,""),IF(AND(YEAR(JulSun1+19)=CalendarYear,MONTH(JulSun1+19)=7),JulSun1+19,""))</f>
        <v>46219</v>
      </c>
      <c r="X349" s="16">
        <f>IF(DAY(JulSun1)=1,IF(AND(YEAR(JulSun1+13)=CalendarYear,MONTH(JulSun1+13)=7),JulSun1+13,""),IF(AND(YEAR(JulSun1+20)=CalendarYear,MONTH(JulSun1+20)=7),JulSun1+20,""))</f>
        <v>46220</v>
      </c>
      <c r="Y349" s="16">
        <f>IF(DAY(JulSun1)=1,IF(AND(YEAR(JulSun1+14)=CalendarYear,MONTH(JulSun1+14)=7),JulSun1+14,""),IF(AND(YEAR(JulSun1+21)=CalendarYear,MONTH(JulSun1+21)=7),JulSun1+21,""))</f>
        <v>46221</v>
      </c>
      <c r="Z349" s="16">
        <f>IF(DAY(JulSun1)=1,IF(AND(YEAR(JulSun1+15)=CalendarYear,MONTH(JulSun1+15)=7),JulSun1+15,""),IF(AND(YEAR(JulSun1+22)=CalendarYear,MONTH(JulSun1+22)=7),JulSun1+22,""))</f>
        <v>46222</v>
      </c>
      <c r="AA349" s="16">
        <f>IF(DAY(JulSun1)=1,IF(AND(YEAR(JulSun1+16)=CalendarYear,MONTH(JulSun1+16)=7),JulSun1+16,""),IF(AND(YEAR(JulSun1+23)=CalendarYear,MONTH(JulSun1+23)=7),JulSun1+23,""))</f>
        <v>46223</v>
      </c>
      <c r="AB349" s="16">
        <f>IF(DAY(JulSun1)=1,IF(AND(YEAR(JulSun1+17)=CalendarYear,MONTH(JulSun1+17)=7),JulSun1+17,""),IF(AND(YEAR(JulSun1+24)=CalendarYear,MONTH(JulSun1+24)=7),JulSun1+24,""))</f>
        <v>46224</v>
      </c>
      <c r="AC349" s="16">
        <f>IF(DAY(JulSun1)=1,IF(AND(YEAR(JulSun1+18)=CalendarYear,MONTH(JulSun1+18)=7),JulSun1+18,""),IF(AND(YEAR(JulSun1+25)=CalendarYear,MONTH(JulSun1+25)=7),JulSun1+25,""))</f>
        <v>46225</v>
      </c>
      <c r="AD349" s="16">
        <f>IF(DAY(JulSun1)=1,IF(AND(YEAR(JulSun1+19)=CalendarYear,MONTH(JulSun1+19)=7),JulSun1+19,""),IF(AND(YEAR(JulSun1+26)=CalendarYear,MONTH(JulSun1+26)=7),JulSun1+26,""))</f>
        <v>46226</v>
      </c>
      <c r="AE349" s="16">
        <f>IF(DAY(JulSun1)=1,IF(AND(YEAR(JulSun1+20)=CalendarYear,MONTH(JulSun1+20)=7),JulSun1+20,""),IF(AND(YEAR(JulSun1+27)=CalendarYear,MONTH(JulSun1+27)=7),JulSun1+27,""))</f>
        <v>46227</v>
      </c>
      <c r="AF349" s="16">
        <f>IF(DAY(JulSun1)=1,IF(AND(YEAR(JulSun1+21)=CalendarYear,MONTH(JulSun1+21)=7),JulSun1+21,""),IF(AND(YEAR(JulSun1+28)=CalendarYear,MONTH(JulSun1+28)=7),JulSun1+28,""))</f>
        <v>46228</v>
      </c>
      <c r="AG349" s="16">
        <f>IF(DAY(JulSun1)=1,IF(AND(YEAR(JulSun1+22)=CalendarYear,MONTH(JulSun1+22)=7),JulSun1+22,""),IF(AND(YEAR(JulSun1+29)=CalendarYear,MONTH(JulSun1+29)=7),JulSun1+29,""))</f>
        <v>46229</v>
      </c>
      <c r="AH349" s="16">
        <f>IF(DAY(JulSun1)=1,IF(AND(YEAR(JulSun1+23)=CalendarYear,MONTH(JulSun1+23)=7),JulSun1+23,""),IF(AND(YEAR(JulSun1+30)=CalendarYear,MONTH(JulSun1+30)=7),JulSun1+30,""))</f>
        <v>46230</v>
      </c>
      <c r="AI349" s="16">
        <f>IF(DAY(JulSun1)=1,IF(AND(YEAR(JulSun1+24)=CalendarYear,MONTH(JulSun1+24)=7),JulSun1+24,""),IF(AND(YEAR(JulSun1+31)=CalendarYear,MONTH(JulSun1+31)=7),JulSun1+31,""))</f>
        <v>46231</v>
      </c>
      <c r="AJ349" s="16">
        <f>IF(DAY(JulSun1)=1,IF(AND(YEAR(JulSun1+25)=CalendarYear,MONTH(JulSun1+25)=7),JulSun1+25,""),IF(AND(YEAR(JulSun1+32)=CalendarYear,MONTH(JulSun1+32)=7),JulSun1+32,""))</f>
        <v>46232</v>
      </c>
      <c r="AK349" s="16">
        <f>IF(DAY(JulSun1)=1,IF(AND(YEAR(JulSun1+26)=CalendarYear,MONTH(JulSun1+26)=7),JulSun1+26,""),IF(AND(YEAR(JulSun1+33)=CalendarYear,MONTH(JulSun1+33)=7),JulSun1+33,""))</f>
        <v>46233</v>
      </c>
      <c r="AL349" s="16">
        <f>IF(DAY(JulSun1)=1,IF(AND(YEAR(JulSun1+27)=CalendarYear,MONTH(JulSun1+27)=7),JulSun1+27,""),IF(AND(YEAR(JulSun1+34)=CalendarYear,MONTH(JulSun1+34)=7),JulSun1+34,""))</f>
        <v>46234</v>
      </c>
      <c r="AM349" s="16" t="str">
        <f>IF(DAY(JulSun1)=1,IF(AND(YEAR(JulSun1+28)=CalendarYear,MONTH(JulSun1+28)=7),JulSun1+28,""),IF(AND(YEAR(JulSun1+35)=CalendarYear,MONTH(JulSun1+35)=7),JulSun1+35,""))</f>
        <v/>
      </c>
      <c r="AN349" s="16" t="str">
        <f>IF(DAY(JulSun1)=1,IF(AND(YEAR(JulSun1+29)=CalendarYear,MONTH(JulSun1+29)=7),JulSun1+29,""),IF(AND(YEAR(JulSun1+36)=CalendarYear,MONTH(JulSun1+36)=7),JulSun1+36,""))</f>
        <v/>
      </c>
      <c r="AO349" s="17" t="str">
        <f>IF(DAY(JulSun1)=1,IF(AND(YEAR(JulSun1+30)=CalendarYear,MONTH(JulSun1+30)=7),JulSun1+30,""),IF(AND(YEAR(JulSun1+37)=CalendarYear,MONTH(JulSun1+37)=7),JulSun1+37,""))</f>
        <v/>
      </c>
      <c r="AP349" s="29"/>
      <c r="AQ349" s="29"/>
      <c r="AR349" s="29"/>
    </row>
    <row r="350" spans="4:44" s="10" customFormat="1" ht="19" customHeight="1" thickBot="1" x14ac:dyDescent="0.45">
      <c r="D350" s="43"/>
      <c r="E350" s="18" t="s">
        <v>2</v>
      </c>
      <c r="F350" s="18" t="s">
        <v>3</v>
      </c>
      <c r="G350" s="18" t="s">
        <v>4</v>
      </c>
      <c r="H350" s="18" t="s">
        <v>5</v>
      </c>
      <c r="I350" s="18" t="s">
        <v>6</v>
      </c>
      <c r="J350" s="18" t="s">
        <v>7</v>
      </c>
      <c r="K350" s="18" t="s">
        <v>8</v>
      </c>
      <c r="L350" s="18" t="s">
        <v>2</v>
      </c>
      <c r="M350" s="18" t="s">
        <v>3</v>
      </c>
      <c r="N350" s="18" t="s">
        <v>4</v>
      </c>
      <c r="O350" s="18" t="s">
        <v>5</v>
      </c>
      <c r="P350" s="18" t="s">
        <v>6</v>
      </c>
      <c r="Q350" s="18" t="s">
        <v>7</v>
      </c>
      <c r="R350" s="18" t="s">
        <v>8</v>
      </c>
      <c r="S350" s="18" t="s">
        <v>2</v>
      </c>
      <c r="T350" s="18" t="s">
        <v>3</v>
      </c>
      <c r="U350" s="18" t="s">
        <v>4</v>
      </c>
      <c r="V350" s="18" t="s">
        <v>5</v>
      </c>
      <c r="W350" s="18" t="s">
        <v>6</v>
      </c>
      <c r="X350" s="18" t="s">
        <v>7</v>
      </c>
      <c r="Y350" s="18" t="s">
        <v>8</v>
      </c>
      <c r="Z350" s="18" t="s">
        <v>2</v>
      </c>
      <c r="AA350" s="18" t="s">
        <v>3</v>
      </c>
      <c r="AB350" s="18" t="s">
        <v>4</v>
      </c>
      <c r="AC350" s="18" t="s">
        <v>5</v>
      </c>
      <c r="AD350" s="18" t="s">
        <v>6</v>
      </c>
      <c r="AE350" s="18" t="s">
        <v>7</v>
      </c>
      <c r="AF350" s="18" t="s">
        <v>8</v>
      </c>
      <c r="AG350" s="18" t="s">
        <v>2</v>
      </c>
      <c r="AH350" s="18" t="s">
        <v>3</v>
      </c>
      <c r="AI350" s="18" t="s">
        <v>4</v>
      </c>
      <c r="AJ350" s="18" t="s">
        <v>5</v>
      </c>
      <c r="AK350" s="18" t="s">
        <v>6</v>
      </c>
      <c r="AL350" s="18" t="s">
        <v>7</v>
      </c>
      <c r="AM350" s="18" t="s">
        <v>8</v>
      </c>
      <c r="AN350" s="18" t="s">
        <v>2</v>
      </c>
      <c r="AO350" s="19" t="s">
        <v>3</v>
      </c>
      <c r="AP350" s="23"/>
      <c r="AQ350" s="23"/>
      <c r="AR350" s="23"/>
    </row>
    <row r="351" spans="4:44" ht="19" customHeight="1" thickBot="1" x14ac:dyDescent="0.45">
      <c r="D351" s="21" t="s">
        <v>10</v>
      </c>
      <c r="E351" s="20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31"/>
      <c r="AP351" s="39">
        <v>2</v>
      </c>
      <c r="AQ351" s="39"/>
      <c r="AR351" s="39"/>
    </row>
    <row r="352" spans="4:44" ht="19" customHeight="1" thickBot="1" x14ac:dyDescent="0.45">
      <c r="D352" s="22" t="s">
        <v>11</v>
      </c>
      <c r="E352" s="20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31"/>
      <c r="AP352" s="39">
        <v>32</v>
      </c>
      <c r="AQ352" s="39"/>
      <c r="AR352" s="39"/>
    </row>
    <row r="353" spans="4:44" ht="19" customHeight="1" thickBot="1" x14ac:dyDescent="0.45">
      <c r="D353" s="22" t="s">
        <v>12</v>
      </c>
      <c r="E353" s="20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31"/>
      <c r="AP353" s="39">
        <v>61</v>
      </c>
      <c r="AQ353" s="39"/>
      <c r="AR353" s="39"/>
    </row>
    <row r="354" spans="4:44" ht="19" customHeight="1" thickBot="1" x14ac:dyDescent="0.45">
      <c r="D354" s="22" t="s">
        <v>13</v>
      </c>
      <c r="E354" s="20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31"/>
      <c r="AP354" s="39">
        <v>7</v>
      </c>
      <c r="AQ354" s="39"/>
      <c r="AR354" s="39"/>
    </row>
    <row r="355" spans="4:44" ht="19" customHeight="1" thickBot="1" x14ac:dyDescent="0.45">
      <c r="D355" s="22" t="s">
        <v>14</v>
      </c>
      <c r="E355" s="20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31"/>
      <c r="AP355" s="39">
        <v>7</v>
      </c>
      <c r="AQ355" s="39"/>
      <c r="AR355" s="39"/>
    </row>
    <row r="356" spans="4:44" ht="19" customHeight="1" thickBot="1" x14ac:dyDescent="0.45">
      <c r="D356" s="22" t="s">
        <v>15</v>
      </c>
      <c r="E356" s="20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31"/>
      <c r="AP356" s="39">
        <v>10</v>
      </c>
      <c r="AQ356" s="39"/>
      <c r="AR356" s="39"/>
    </row>
    <row r="357" spans="4:44" ht="19" customHeight="1" thickBot="1" x14ac:dyDescent="0.45">
      <c r="D357" s="22" t="s">
        <v>16</v>
      </c>
      <c r="E357" s="20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31"/>
      <c r="AP357" s="39">
        <v>2</v>
      </c>
      <c r="AQ357" s="39"/>
      <c r="AR357" s="39"/>
    </row>
    <row r="358" spans="4:44" ht="19" customHeight="1" thickBot="1" x14ac:dyDescent="0.45">
      <c r="D358" s="22" t="s">
        <v>17</v>
      </c>
      <c r="E358" s="20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31"/>
      <c r="AP358" s="39">
        <v>4</v>
      </c>
      <c r="AQ358" s="39"/>
      <c r="AR358" s="39"/>
    </row>
    <row r="359" spans="4:44" ht="19" customHeight="1" thickBot="1" x14ac:dyDescent="0.45">
      <c r="D359" s="22" t="s">
        <v>18</v>
      </c>
      <c r="E359" s="20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31"/>
      <c r="AP359" s="39">
        <v>2</v>
      </c>
      <c r="AQ359" s="39"/>
      <c r="AR359" s="39"/>
    </row>
    <row r="360" spans="4:44" ht="19" customHeight="1" thickBot="1" x14ac:dyDescent="0.45">
      <c r="D360" s="22" t="s">
        <v>19</v>
      </c>
      <c r="E360" s="20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31"/>
      <c r="AP360" s="39">
        <v>6</v>
      </c>
      <c r="AQ360" s="39"/>
      <c r="AR360" s="39"/>
    </row>
    <row r="361" spans="4:44" ht="19" customHeight="1" thickBot="1" x14ac:dyDescent="0.45">
      <c r="D361" s="22" t="s">
        <v>20</v>
      </c>
      <c r="E361" s="20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31"/>
      <c r="AP361" s="39">
        <v>13</v>
      </c>
      <c r="AQ361" s="39"/>
      <c r="AR361" s="39"/>
    </row>
    <row r="362" spans="4:44" ht="19" customHeight="1" thickBot="1" x14ac:dyDescent="0.45">
      <c r="D362" s="22" t="s">
        <v>21</v>
      </c>
      <c r="E362" s="20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31"/>
      <c r="AP362" s="39">
        <v>1</v>
      </c>
      <c r="AQ362" s="39"/>
      <c r="AR362" s="39"/>
    </row>
    <row r="363" spans="4:44" ht="19" customHeight="1" thickBot="1" x14ac:dyDescent="0.45">
      <c r="D363" s="22" t="s">
        <v>22</v>
      </c>
      <c r="E363" s="20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31"/>
      <c r="AP363" s="39">
        <v>6</v>
      </c>
      <c r="AQ363" s="39"/>
      <c r="AR363" s="39"/>
    </row>
    <row r="364" spans="4:44" ht="19" customHeight="1" thickBot="1" x14ac:dyDescent="0.45"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</row>
    <row r="365" spans="4:44" ht="19" customHeight="1" thickBot="1" x14ac:dyDescent="0.45">
      <c r="D365" s="21" t="s">
        <v>23</v>
      </c>
      <c r="E365" s="20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31"/>
      <c r="AP365" s="39" t="s">
        <v>24</v>
      </c>
      <c r="AQ365" s="39"/>
      <c r="AR365" s="39"/>
    </row>
    <row r="366" spans="4:44" ht="19" customHeight="1" thickBot="1" x14ac:dyDescent="0.45">
      <c r="D366" s="22" t="s">
        <v>25</v>
      </c>
      <c r="E366" s="20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31"/>
      <c r="AP366" s="39" t="s">
        <v>26</v>
      </c>
      <c r="AQ366" s="39"/>
      <c r="AR366" s="39"/>
    </row>
    <row r="367" spans="4:44" ht="19" customHeight="1" thickBot="1" x14ac:dyDescent="0.45">
      <c r="D367" s="22" t="s">
        <v>27</v>
      </c>
      <c r="E367" s="20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31"/>
      <c r="AP367" s="39" t="s">
        <v>28</v>
      </c>
      <c r="AQ367" s="39"/>
      <c r="AR367" s="39"/>
    </row>
    <row r="368" spans="4:44" ht="19" customHeight="1" thickBot="1" x14ac:dyDescent="0.45">
      <c r="D368" s="22" t="s">
        <v>29</v>
      </c>
      <c r="E368" s="20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31"/>
      <c r="AP368" s="39">
        <v>34</v>
      </c>
      <c r="AQ368" s="39"/>
      <c r="AR368" s="39"/>
    </row>
    <row r="369" spans="4:44" ht="19" customHeight="1" thickBot="1" x14ac:dyDescent="0.45">
      <c r="D369" s="22" t="s">
        <v>30</v>
      </c>
      <c r="E369" s="20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31"/>
      <c r="AP369" s="39">
        <v>13</v>
      </c>
      <c r="AQ369" s="39"/>
      <c r="AR369" s="39"/>
    </row>
    <row r="370" spans="4:44" ht="19" customHeight="1" thickBot="1" x14ac:dyDescent="0.45">
      <c r="D370" s="22" t="s">
        <v>31</v>
      </c>
      <c r="E370" s="20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31"/>
      <c r="AP370" s="39">
        <v>16</v>
      </c>
      <c r="AQ370" s="39"/>
      <c r="AR370" s="39"/>
    </row>
    <row r="371" spans="4:44" ht="19" customHeight="1" thickBot="1" x14ac:dyDescent="0.45">
      <c r="D371" s="22" t="s">
        <v>32</v>
      </c>
      <c r="E371" s="20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31"/>
      <c r="AP371" s="39">
        <v>15</v>
      </c>
      <c r="AQ371" s="39"/>
      <c r="AR371" s="39"/>
    </row>
    <row r="372" spans="4:44" ht="19" customHeight="1" thickBot="1" x14ac:dyDescent="0.45"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32"/>
      <c r="AP372" s="26"/>
      <c r="AQ372" s="26"/>
      <c r="AR372" s="26"/>
    </row>
    <row r="373" spans="4:44" ht="19" customHeight="1" thickBot="1" x14ac:dyDescent="0.45">
      <c r="D373" s="21" t="s">
        <v>33</v>
      </c>
      <c r="E373" s="20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31"/>
      <c r="AP373" s="39">
        <v>3</v>
      </c>
      <c r="AQ373" s="39"/>
      <c r="AR373" s="39"/>
    </row>
    <row r="374" spans="4:44" ht="19" customHeight="1" thickBot="1" x14ac:dyDescent="0.45">
      <c r="D374" s="22" t="s">
        <v>34</v>
      </c>
      <c r="E374" s="20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31"/>
      <c r="AP374" s="39">
        <v>7</v>
      </c>
      <c r="AQ374" s="39"/>
      <c r="AR374" s="39"/>
    </row>
    <row r="375" spans="4:44" ht="19" customHeight="1" thickBot="1" x14ac:dyDescent="0.45">
      <c r="D375" s="22" t="s">
        <v>35</v>
      </c>
      <c r="E375" s="20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31"/>
      <c r="AP375" s="39">
        <v>2</v>
      </c>
      <c r="AQ375" s="39"/>
      <c r="AR375" s="39"/>
    </row>
    <row r="376" spans="4:44" ht="19" customHeight="1" thickBot="1" x14ac:dyDescent="0.45">
      <c r="D376" s="22" t="s">
        <v>36</v>
      </c>
      <c r="E376" s="20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31"/>
      <c r="AP376" s="39">
        <v>4</v>
      </c>
      <c r="AQ376" s="39"/>
      <c r="AR376" s="39"/>
    </row>
    <row r="377" spans="4:44" ht="19" customHeight="1" thickBot="1" x14ac:dyDescent="0.45">
      <c r="D377" s="22" t="s">
        <v>37</v>
      </c>
      <c r="E377" s="20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31"/>
      <c r="AP377" s="39">
        <v>2</v>
      </c>
      <c r="AQ377" s="39"/>
      <c r="AR377" s="39"/>
    </row>
    <row r="378" spans="4:44" ht="19" customHeight="1" thickBot="1" x14ac:dyDescent="0.45">
      <c r="D378" s="22" t="s">
        <v>38</v>
      </c>
      <c r="E378" s="20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31"/>
      <c r="AP378" s="39">
        <v>8</v>
      </c>
      <c r="AQ378" s="39"/>
      <c r="AR378" s="39"/>
    </row>
    <row r="379" spans="4:44" ht="19" customHeight="1" thickBot="1" x14ac:dyDescent="0.45"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33"/>
      <c r="AP379" s="34"/>
      <c r="AQ379" s="34"/>
      <c r="AR379" s="34"/>
    </row>
    <row r="380" spans="4:44" ht="19" customHeight="1" thickBot="1" x14ac:dyDescent="0.45">
      <c r="D380" s="21" t="s">
        <v>39</v>
      </c>
      <c r="E380" s="20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31"/>
      <c r="AP380" s="39">
        <v>3</v>
      </c>
      <c r="AQ380" s="39"/>
      <c r="AR380" s="39"/>
    </row>
    <row r="381" spans="4:44" ht="19" customHeight="1" thickBot="1" x14ac:dyDescent="0.45">
      <c r="D381" s="22" t="s">
        <v>40</v>
      </c>
      <c r="E381" s="20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31"/>
      <c r="AP381" s="39">
        <v>3</v>
      </c>
      <c r="AQ381" s="39"/>
      <c r="AR381" s="39"/>
    </row>
    <row r="382" spans="4:44" ht="19" customHeight="1" thickBot="1" x14ac:dyDescent="0.45">
      <c r="D382" s="22" t="s">
        <v>41</v>
      </c>
      <c r="E382" s="20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31"/>
      <c r="AP382" s="39">
        <v>2</v>
      </c>
      <c r="AQ382" s="39"/>
      <c r="AR382" s="39"/>
    </row>
    <row r="383" spans="4:44" ht="19" customHeight="1" thickBot="1" x14ac:dyDescent="0.45">
      <c r="D383" s="22" t="s">
        <v>42</v>
      </c>
      <c r="E383" s="20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31"/>
      <c r="AP383" s="39">
        <v>2</v>
      </c>
      <c r="AQ383" s="39"/>
      <c r="AR383" s="39"/>
    </row>
    <row r="384" spans="4:44" ht="19" customHeight="1" thickBot="1" x14ac:dyDescent="0.45"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32"/>
      <c r="AP384" s="26"/>
      <c r="AQ384" s="26"/>
      <c r="AR384" s="26"/>
    </row>
    <row r="385" spans="4:44" ht="19" customHeight="1" thickBot="1" x14ac:dyDescent="0.45">
      <c r="D385" s="21" t="s">
        <v>43</v>
      </c>
      <c r="E385" s="20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31"/>
      <c r="AP385" s="39">
        <v>2</v>
      </c>
      <c r="AQ385" s="39"/>
      <c r="AR385" s="39"/>
    </row>
    <row r="386" spans="4:44" ht="19" customHeight="1" thickBot="1" x14ac:dyDescent="0.45">
      <c r="D386" s="22" t="s">
        <v>44</v>
      </c>
      <c r="E386" s="20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31"/>
      <c r="AP386" s="39">
        <v>2</v>
      </c>
      <c r="AQ386" s="39"/>
      <c r="AR386" s="39"/>
    </row>
    <row r="387" spans="4:44" ht="19" customHeight="1" thickBot="1" x14ac:dyDescent="0.45">
      <c r="D387" s="22" t="s">
        <v>45</v>
      </c>
      <c r="E387" s="20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31"/>
      <c r="AP387" s="39">
        <v>1</v>
      </c>
      <c r="AQ387" s="39"/>
      <c r="AR387" s="39"/>
    </row>
    <row r="388" spans="4:44" ht="19" customHeight="1" thickBot="1" x14ac:dyDescent="0.45">
      <c r="D388" s="22" t="s">
        <v>46</v>
      </c>
      <c r="E388" s="20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31"/>
      <c r="AP388" s="39">
        <v>2</v>
      </c>
      <c r="AQ388" s="39"/>
      <c r="AR388" s="39"/>
    </row>
    <row r="389" spans="4:44" ht="19" customHeight="1" thickBot="1" x14ac:dyDescent="0.45">
      <c r="D389" s="22" t="s">
        <v>47</v>
      </c>
      <c r="E389" s="20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31"/>
      <c r="AP389" s="39">
        <v>2</v>
      </c>
      <c r="AQ389" s="39"/>
      <c r="AR389" s="39"/>
    </row>
    <row r="390" spans="4:44" ht="19" customHeight="1" thickBot="1" x14ac:dyDescent="0.45">
      <c r="D390" s="22" t="s">
        <v>48</v>
      </c>
      <c r="E390" s="20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31"/>
      <c r="AP390" s="39">
        <v>3</v>
      </c>
      <c r="AQ390" s="39"/>
      <c r="AR390" s="39"/>
    </row>
    <row r="391" spans="4:44" ht="19" customHeight="1" thickBot="1" x14ac:dyDescent="0.45">
      <c r="D391" s="22" t="s">
        <v>49</v>
      </c>
      <c r="E391" s="20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31"/>
      <c r="AP391" s="39">
        <v>2</v>
      </c>
      <c r="AQ391" s="39"/>
      <c r="AR391" s="39"/>
    </row>
    <row r="392" spans="4:44" ht="19" customHeight="1" thickBot="1" x14ac:dyDescent="0.45">
      <c r="D392" s="22" t="s">
        <v>50</v>
      </c>
      <c r="E392" s="20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31"/>
      <c r="AP392" s="39">
        <v>1</v>
      </c>
      <c r="AQ392" s="39"/>
      <c r="AR392" s="39"/>
    </row>
    <row r="393" spans="4:44" ht="19" customHeight="1" thickBot="1" x14ac:dyDescent="0.45">
      <c r="D393" s="22" t="s">
        <v>51</v>
      </c>
      <c r="E393" s="20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31"/>
      <c r="AP393" s="39">
        <v>1</v>
      </c>
      <c r="AQ393" s="39"/>
      <c r="AR393" s="39"/>
    </row>
    <row r="394" spans="4:44" ht="19" customHeight="1" thickBot="1" x14ac:dyDescent="0.45">
      <c r="D394" s="22" t="s">
        <v>52</v>
      </c>
      <c r="E394" s="20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31"/>
      <c r="AP394" s="39">
        <v>3</v>
      </c>
      <c r="AQ394" s="39"/>
      <c r="AR394" s="39"/>
    </row>
    <row r="395" spans="4:44" ht="19" customHeight="1" thickBot="1" x14ac:dyDescent="0.45">
      <c r="D395" s="22" t="s">
        <v>53</v>
      </c>
      <c r="E395" s="20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31"/>
      <c r="AP395" s="39">
        <v>2</v>
      </c>
      <c r="AQ395" s="39"/>
      <c r="AR395" s="39"/>
    </row>
    <row r="396" spans="4:44" ht="19" customHeight="1" thickBot="1" x14ac:dyDescent="0.45">
      <c r="D396" s="22" t="s">
        <v>54</v>
      </c>
      <c r="E396" s="20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31"/>
      <c r="AP396" s="39">
        <v>1</v>
      </c>
      <c r="AQ396" s="39"/>
      <c r="AR396" s="39"/>
    </row>
    <row r="397" spans="4:44" ht="19" customHeight="1" thickBot="1" x14ac:dyDescent="0.45">
      <c r="D397" s="22" t="s">
        <v>55</v>
      </c>
      <c r="E397" s="20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31"/>
      <c r="AP397" s="39">
        <v>1</v>
      </c>
      <c r="AQ397" s="39"/>
      <c r="AR397" s="39"/>
    </row>
    <row r="398" spans="4:44" ht="19" customHeight="1" thickBot="1" x14ac:dyDescent="0.45">
      <c r="D398" s="22" t="s">
        <v>56</v>
      </c>
      <c r="E398" s="20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31"/>
      <c r="AP398" s="39">
        <v>2</v>
      </c>
      <c r="AQ398" s="39"/>
      <c r="AR398" s="39"/>
    </row>
    <row r="399" spans="4:44" ht="19" customHeight="1" thickBot="1" x14ac:dyDescent="0.45">
      <c r="D399" s="22" t="s">
        <v>57</v>
      </c>
      <c r="E399" s="20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31"/>
      <c r="AP399" s="39">
        <v>2</v>
      </c>
      <c r="AQ399" s="39"/>
      <c r="AR399" s="39"/>
    </row>
    <row r="400" spans="4:44" ht="19" customHeight="1" x14ac:dyDescent="0.4">
      <c r="D400" s="8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30"/>
      <c r="AQ400" s="30"/>
      <c r="AR400" s="30"/>
    </row>
    <row r="401" spans="4:44" ht="19" customHeight="1" x14ac:dyDescent="0.4">
      <c r="D401" s="8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30"/>
      <c r="AQ401" s="30"/>
      <c r="AR401" s="30"/>
    </row>
    <row r="402" spans="4:44" ht="19" customHeight="1" x14ac:dyDescent="0.4">
      <c r="D402" s="8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30"/>
      <c r="AQ402" s="30"/>
      <c r="AR402" s="30"/>
    </row>
    <row r="403" spans="4:44" ht="19" customHeight="1" x14ac:dyDescent="0.4">
      <c r="D403" s="8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30"/>
      <c r="AQ403" s="30"/>
      <c r="AR403" s="30"/>
    </row>
    <row r="404" spans="4:44" ht="19" customHeight="1" x14ac:dyDescent="0.4">
      <c r="D404" s="8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30"/>
      <c r="AQ404" s="30"/>
      <c r="AR404" s="30"/>
    </row>
    <row r="405" spans="4:44" ht="19" customHeight="1" x14ac:dyDescent="0.4">
      <c r="D405" s="8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30"/>
      <c r="AQ405" s="30"/>
      <c r="AR405" s="30"/>
    </row>
    <row r="406" spans="4:44" ht="19" customHeight="1" x14ac:dyDescent="0.4">
      <c r="D406" s="9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30"/>
      <c r="AQ406" s="30"/>
      <c r="AR406" s="30"/>
    </row>
    <row r="407" spans="4:44" ht="19" customHeight="1" x14ac:dyDescent="0.4">
      <c r="D407" s="9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30"/>
      <c r="AQ407" s="30"/>
      <c r="AR407" s="30"/>
    </row>
    <row r="408" spans="4:44" ht="12" customHeight="1" x14ac:dyDescent="0.4"/>
    <row r="409" spans="4:44" s="10" customFormat="1" ht="19" customHeight="1" x14ac:dyDescent="0.4">
      <c r="D409" s="41">
        <f>DATE(CalendarYear,8,1)</f>
        <v>46235</v>
      </c>
      <c r="E409" s="16" t="str">
        <f>IF(DAY(AugSun1)=1,"",IF(AND(YEAR(AugSun1+1)=CalendarYear,MONTH(AugSun1+1)=8),AugSun1+1,""))</f>
        <v/>
      </c>
      <c r="F409" s="16" t="str">
        <f>IF(DAY(AugSun1)=1,"",IF(AND(YEAR(AugSun1+2)=CalendarYear,MONTH(AugSun1+2)=8),AugSun1+2,""))</f>
        <v/>
      </c>
      <c r="G409" s="16" t="str">
        <f>IF(DAY(AugSun1)=1,"",IF(AND(YEAR(AugSun1+3)=CalendarYear,MONTH(AugSun1+3)=8),AugSun1+3,""))</f>
        <v/>
      </c>
      <c r="H409" s="16" t="str">
        <f>IF(DAY(AugSun1)=1,"",IF(AND(YEAR(AugSun1+4)=CalendarYear,MONTH(AugSun1+4)=8),AugSun1+4,""))</f>
        <v/>
      </c>
      <c r="I409" s="16" t="str">
        <f>IF(DAY(AugSun1)=1,"",IF(AND(YEAR(AugSun1+5)=CalendarYear,MONTH(AugSun1+5)=8),AugSun1+5,""))</f>
        <v/>
      </c>
      <c r="J409" s="16" t="str">
        <f>IF(DAY(AugSun1)=1,"",IF(AND(YEAR(AugSun1+6)=CalendarYear,MONTH(AugSun1+6)=8),AugSun1+6,""))</f>
        <v/>
      </c>
      <c r="K409" s="16">
        <f>IF(DAY(AugSun1)=1,IF(AND(YEAR(AugSun1)=CalendarYear,MONTH(AugSun1)=8),AugSun1,""),IF(AND(YEAR(AugSun1+7)=CalendarYear,MONTH(AugSun1+7)=8),AugSun1+7,""))</f>
        <v>46235</v>
      </c>
      <c r="L409" s="16">
        <f>IF(DAY(AugSun1)=1,IF(AND(YEAR(AugSun1+1)=CalendarYear,MONTH(AugSun1+1)=8),AugSun1+1,""),IF(AND(YEAR(AugSun1+8)=CalendarYear,MONTH(AugSun1+8)=8),AugSun1+8,""))</f>
        <v>46236</v>
      </c>
      <c r="M409" s="16">
        <f>IF(DAY(AugSun1)=1,IF(AND(YEAR(AugSun1+2)=CalendarYear,MONTH(AugSun1+2)=8),AugSun1+2,""),IF(AND(YEAR(AugSun1+9)=CalendarYear,MONTH(AugSun1+9)=8),AugSun1+9,""))</f>
        <v>46237</v>
      </c>
      <c r="N409" s="16">
        <f>IF(DAY(AugSun1)=1,IF(AND(YEAR(AugSun1+3)=CalendarYear,MONTH(AugSun1+3)=8),AugSun1+3,""),IF(AND(YEAR(AugSun1+10)=CalendarYear,MONTH(AugSun1+10)=8),AugSun1+10,""))</f>
        <v>46238</v>
      </c>
      <c r="O409" s="16">
        <f>IF(DAY(AugSun1)=1,IF(AND(YEAR(AugSun1+4)=CalendarYear,MONTH(AugSun1+4)=8),AugSun1+4,""),IF(AND(YEAR(AugSun1+11)=CalendarYear,MONTH(AugSun1+11)=8),AugSun1+11,""))</f>
        <v>46239</v>
      </c>
      <c r="P409" s="16">
        <f>IF(DAY(AugSun1)=1,IF(AND(YEAR(AugSun1+5)=CalendarYear,MONTH(AugSun1+5)=8),AugSun1+5,""),IF(AND(YEAR(AugSun1+12)=CalendarYear,MONTH(AugSun1+12)=8),AugSun1+12,""))</f>
        <v>46240</v>
      </c>
      <c r="Q409" s="16">
        <f>IF(DAY(AugSun1)=1,IF(AND(YEAR(AugSun1+6)=CalendarYear,MONTH(AugSun1+6)=8),AugSun1+6,""),IF(AND(YEAR(AugSun1+13)=CalendarYear,MONTH(AugSun1+13)=8),AugSun1+13,""))</f>
        <v>46241</v>
      </c>
      <c r="R409" s="16">
        <f>IF(DAY(AugSun1)=1,IF(AND(YEAR(AugSun1+7)=CalendarYear,MONTH(AugSun1+7)=8),AugSun1+7,""),IF(AND(YEAR(AugSun1+14)=CalendarYear,MONTH(AugSun1+14)=8),AugSun1+14,""))</f>
        <v>46242</v>
      </c>
      <c r="S409" s="16">
        <f>IF(DAY(AugSun1)=1,IF(AND(YEAR(AugSun1+8)=CalendarYear,MONTH(AugSun1+8)=8),AugSun1+8,""),IF(AND(YEAR(AugSun1+15)=CalendarYear,MONTH(AugSun1+15)=8),AugSun1+15,""))</f>
        <v>46243</v>
      </c>
      <c r="T409" s="16">
        <f>IF(DAY(AugSun1)=1,IF(AND(YEAR(AugSun1+9)=CalendarYear,MONTH(AugSun1+9)=8),AugSun1+9,""),IF(AND(YEAR(AugSun1+16)=CalendarYear,MONTH(AugSun1+16)=8),AugSun1+16,""))</f>
        <v>46244</v>
      </c>
      <c r="U409" s="16">
        <f>IF(DAY(AugSun1)=1,IF(AND(YEAR(AugSun1+10)=CalendarYear,MONTH(AugSun1+10)=8),AugSun1+10,""),IF(AND(YEAR(AugSun1+17)=CalendarYear,MONTH(AugSun1+17)=8),AugSun1+17,""))</f>
        <v>46245</v>
      </c>
      <c r="V409" s="16">
        <f>IF(DAY(AugSun1)=1,IF(AND(YEAR(AugSun1+11)=CalendarYear,MONTH(AugSun1+11)=8),AugSun1+11,""),IF(AND(YEAR(AugSun1+18)=CalendarYear,MONTH(AugSun1+18)=8),AugSun1+18,""))</f>
        <v>46246</v>
      </c>
      <c r="W409" s="16">
        <f>IF(DAY(AugSun1)=1,IF(AND(YEAR(AugSun1+12)=CalendarYear,MONTH(AugSun1+12)=8),AugSun1+12,""),IF(AND(YEAR(AugSun1+19)=CalendarYear,MONTH(AugSun1+19)=8),AugSun1+19,""))</f>
        <v>46247</v>
      </c>
      <c r="X409" s="16">
        <f>IF(DAY(AugSun1)=1,IF(AND(YEAR(AugSun1+13)=CalendarYear,MONTH(AugSun1+13)=8),AugSun1+13,""),IF(AND(YEAR(AugSun1+20)=CalendarYear,MONTH(AugSun1+20)=8),AugSun1+20,""))</f>
        <v>46248</v>
      </c>
      <c r="Y409" s="16">
        <f>IF(DAY(AugSun1)=1,IF(AND(YEAR(AugSun1+14)=CalendarYear,MONTH(AugSun1+14)=8),AugSun1+14,""),IF(AND(YEAR(AugSun1+21)=CalendarYear,MONTH(AugSun1+21)=8),AugSun1+21,""))</f>
        <v>46249</v>
      </c>
      <c r="Z409" s="16">
        <f>IF(DAY(AugSun1)=1,IF(AND(YEAR(AugSun1+15)=CalendarYear,MONTH(AugSun1+15)=8),AugSun1+15,""),IF(AND(YEAR(AugSun1+22)=CalendarYear,MONTH(AugSun1+22)=8),AugSun1+22,""))</f>
        <v>46250</v>
      </c>
      <c r="AA409" s="16">
        <f>IF(DAY(AugSun1)=1,IF(AND(YEAR(AugSun1+16)=CalendarYear,MONTH(AugSun1+16)=8),AugSun1+16,""),IF(AND(YEAR(AugSun1+23)=CalendarYear,MONTH(AugSun1+23)=8),AugSun1+23,""))</f>
        <v>46251</v>
      </c>
      <c r="AB409" s="16">
        <f>IF(DAY(AugSun1)=1,IF(AND(YEAR(AugSun1+17)=CalendarYear,MONTH(AugSun1+17)=8),AugSun1+17,""),IF(AND(YEAR(AugSun1+24)=CalendarYear,MONTH(AugSun1+24)=8),AugSun1+24,""))</f>
        <v>46252</v>
      </c>
      <c r="AC409" s="16">
        <f>IF(DAY(AugSun1)=1,IF(AND(YEAR(AugSun1+18)=CalendarYear,MONTH(AugSun1+18)=8),AugSun1+18,""),IF(AND(YEAR(AugSun1+25)=CalendarYear,MONTH(AugSun1+25)=8),AugSun1+25,""))</f>
        <v>46253</v>
      </c>
      <c r="AD409" s="16">
        <f>IF(DAY(AugSun1)=1,IF(AND(YEAR(AugSun1+19)=CalendarYear,MONTH(AugSun1+19)=8),AugSun1+19,""),IF(AND(YEAR(AugSun1+26)=CalendarYear,MONTH(AugSun1+26)=8),AugSun1+26,""))</f>
        <v>46254</v>
      </c>
      <c r="AE409" s="16">
        <f>IF(DAY(AugSun1)=1,IF(AND(YEAR(AugSun1+20)=CalendarYear,MONTH(AugSun1+20)=8),AugSun1+20,""),IF(AND(YEAR(AugSun1+27)=CalendarYear,MONTH(AugSun1+27)=8),AugSun1+27,""))</f>
        <v>46255</v>
      </c>
      <c r="AF409" s="16">
        <f>IF(DAY(AugSun1)=1,IF(AND(YEAR(AugSun1+21)=CalendarYear,MONTH(AugSun1+21)=8),AugSun1+21,""),IF(AND(YEAR(AugSun1+28)=CalendarYear,MONTH(AugSun1+28)=8),AugSun1+28,""))</f>
        <v>46256</v>
      </c>
      <c r="AG409" s="16">
        <f>IF(DAY(AugSun1)=1,IF(AND(YEAR(AugSun1+22)=CalendarYear,MONTH(AugSun1+22)=8),AugSun1+22,""),IF(AND(YEAR(AugSun1+29)=CalendarYear,MONTH(AugSun1+29)=8),AugSun1+29,""))</f>
        <v>46257</v>
      </c>
      <c r="AH409" s="16">
        <f>IF(DAY(AugSun1)=1,IF(AND(YEAR(AugSun1+23)=CalendarYear,MONTH(AugSun1+23)=8),AugSun1+23,""),IF(AND(YEAR(AugSun1+30)=CalendarYear,MONTH(AugSun1+30)=8),AugSun1+30,""))</f>
        <v>46258</v>
      </c>
      <c r="AI409" s="16">
        <f>IF(DAY(AugSun1)=1,IF(AND(YEAR(AugSun1+24)=CalendarYear,MONTH(AugSun1+24)=8),AugSun1+24,""),IF(AND(YEAR(AugSun1+31)=CalendarYear,MONTH(AugSun1+31)=8),AugSun1+31,""))</f>
        <v>46259</v>
      </c>
      <c r="AJ409" s="16">
        <f>IF(DAY(AugSun1)=1,IF(AND(YEAR(AugSun1+25)=CalendarYear,MONTH(AugSun1+25)=8),AugSun1+25,""),IF(AND(YEAR(AugSun1+32)=CalendarYear,MONTH(AugSun1+32)=8),AugSun1+32,""))</f>
        <v>46260</v>
      </c>
      <c r="AK409" s="16">
        <f>IF(DAY(AugSun1)=1,IF(AND(YEAR(AugSun1+26)=CalendarYear,MONTH(AugSun1+26)=8),AugSun1+26,""),IF(AND(YEAR(AugSun1+33)=CalendarYear,MONTH(AugSun1+33)=8),AugSun1+33,""))</f>
        <v>46261</v>
      </c>
      <c r="AL409" s="16">
        <f>IF(DAY(AugSun1)=1,IF(AND(YEAR(AugSun1+27)=CalendarYear,MONTH(AugSun1+27)=8),AugSun1+27,""),IF(AND(YEAR(AugSun1+34)=CalendarYear,MONTH(AugSun1+34)=8),AugSun1+34,""))</f>
        <v>46262</v>
      </c>
      <c r="AM409" s="16">
        <f>IF(DAY(AugSun1)=1,IF(AND(YEAR(AugSun1+28)=CalendarYear,MONTH(AugSun1+28)=8),AugSun1+28,""),IF(AND(YEAR(AugSun1+35)=CalendarYear,MONTH(AugSun1+35)=8),AugSun1+35,""))</f>
        <v>46263</v>
      </c>
      <c r="AN409" s="16">
        <f>IF(DAY(AugSun1)=1,IF(AND(YEAR(AugSun1+29)=CalendarYear,MONTH(AugSun1+29)=8),AugSun1+29,""),IF(AND(YEAR(AugSun1+36)=CalendarYear,MONTH(AugSun1+36)=8),AugSun1+36,""))</f>
        <v>46264</v>
      </c>
      <c r="AO409" s="17">
        <f>IF(DAY(AugSun1)=1,IF(AND(YEAR(AugSun1+30)=CalendarYear,MONTH(AugSun1+30)=8),AugSun1+30,""),IF(AND(YEAR(AugSun1+37)=CalendarYear,MONTH(AugSun1+37)=8),AugSun1+37,""))</f>
        <v>46265</v>
      </c>
      <c r="AP409" s="29"/>
      <c r="AQ409" s="29"/>
      <c r="AR409" s="29"/>
    </row>
    <row r="410" spans="4:44" s="10" customFormat="1" ht="19" customHeight="1" thickBot="1" x14ac:dyDescent="0.45">
      <c r="D410" s="43"/>
      <c r="E410" s="18" t="s">
        <v>2</v>
      </c>
      <c r="F410" s="18" t="s">
        <v>3</v>
      </c>
      <c r="G410" s="18" t="s">
        <v>4</v>
      </c>
      <c r="H410" s="18" t="s">
        <v>5</v>
      </c>
      <c r="I410" s="18" t="s">
        <v>6</v>
      </c>
      <c r="J410" s="18" t="s">
        <v>7</v>
      </c>
      <c r="K410" s="18" t="s">
        <v>8</v>
      </c>
      <c r="L410" s="18" t="s">
        <v>2</v>
      </c>
      <c r="M410" s="18" t="s">
        <v>3</v>
      </c>
      <c r="N410" s="18" t="s">
        <v>4</v>
      </c>
      <c r="O410" s="18" t="s">
        <v>5</v>
      </c>
      <c r="P410" s="18" t="s">
        <v>6</v>
      </c>
      <c r="Q410" s="18" t="s">
        <v>7</v>
      </c>
      <c r="R410" s="18" t="s">
        <v>8</v>
      </c>
      <c r="S410" s="18" t="s">
        <v>2</v>
      </c>
      <c r="T410" s="18" t="s">
        <v>3</v>
      </c>
      <c r="U410" s="18" t="s">
        <v>4</v>
      </c>
      <c r="V410" s="18" t="s">
        <v>5</v>
      </c>
      <c r="W410" s="18" t="s">
        <v>6</v>
      </c>
      <c r="X410" s="18" t="s">
        <v>7</v>
      </c>
      <c r="Y410" s="18" t="s">
        <v>8</v>
      </c>
      <c r="Z410" s="18" t="s">
        <v>2</v>
      </c>
      <c r="AA410" s="18" t="s">
        <v>3</v>
      </c>
      <c r="AB410" s="18" t="s">
        <v>4</v>
      </c>
      <c r="AC410" s="18" t="s">
        <v>5</v>
      </c>
      <c r="AD410" s="18" t="s">
        <v>6</v>
      </c>
      <c r="AE410" s="18" t="s">
        <v>7</v>
      </c>
      <c r="AF410" s="18" t="s">
        <v>8</v>
      </c>
      <c r="AG410" s="18" t="s">
        <v>2</v>
      </c>
      <c r="AH410" s="18" t="s">
        <v>3</v>
      </c>
      <c r="AI410" s="18" t="s">
        <v>4</v>
      </c>
      <c r="AJ410" s="18" t="s">
        <v>5</v>
      </c>
      <c r="AK410" s="18" t="s">
        <v>6</v>
      </c>
      <c r="AL410" s="18" t="s">
        <v>7</v>
      </c>
      <c r="AM410" s="18" t="s">
        <v>8</v>
      </c>
      <c r="AN410" s="18" t="s">
        <v>2</v>
      </c>
      <c r="AO410" s="19" t="s">
        <v>3</v>
      </c>
      <c r="AP410" s="23"/>
      <c r="AQ410" s="23"/>
      <c r="AR410" s="23"/>
    </row>
    <row r="411" spans="4:44" ht="19" customHeight="1" thickBot="1" x14ac:dyDescent="0.45">
      <c r="D411" s="21" t="s">
        <v>10</v>
      </c>
      <c r="E411" s="20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31"/>
      <c r="AP411" s="39">
        <v>2</v>
      </c>
      <c r="AQ411" s="39"/>
      <c r="AR411" s="39"/>
    </row>
    <row r="412" spans="4:44" ht="19" customHeight="1" thickBot="1" x14ac:dyDescent="0.45">
      <c r="D412" s="22" t="s">
        <v>11</v>
      </c>
      <c r="E412" s="20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31"/>
      <c r="AP412" s="39">
        <v>32</v>
      </c>
      <c r="AQ412" s="39"/>
      <c r="AR412" s="39"/>
    </row>
    <row r="413" spans="4:44" ht="19" customHeight="1" thickBot="1" x14ac:dyDescent="0.45">
      <c r="D413" s="22" t="s">
        <v>12</v>
      </c>
      <c r="E413" s="20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31"/>
      <c r="AP413" s="39">
        <v>61</v>
      </c>
      <c r="AQ413" s="39"/>
      <c r="AR413" s="39"/>
    </row>
    <row r="414" spans="4:44" ht="19" customHeight="1" thickBot="1" x14ac:dyDescent="0.45">
      <c r="D414" s="22" t="s">
        <v>13</v>
      </c>
      <c r="E414" s="20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31"/>
      <c r="AP414" s="39">
        <v>7</v>
      </c>
      <c r="AQ414" s="39"/>
      <c r="AR414" s="39"/>
    </row>
    <row r="415" spans="4:44" ht="19" customHeight="1" thickBot="1" x14ac:dyDescent="0.45">
      <c r="D415" s="22" t="s">
        <v>14</v>
      </c>
      <c r="E415" s="20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31"/>
      <c r="AP415" s="39">
        <v>7</v>
      </c>
      <c r="AQ415" s="39"/>
      <c r="AR415" s="39"/>
    </row>
    <row r="416" spans="4:44" ht="19" customHeight="1" thickBot="1" x14ac:dyDescent="0.45">
      <c r="D416" s="22" t="s">
        <v>15</v>
      </c>
      <c r="E416" s="20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31"/>
      <c r="AP416" s="39">
        <v>10</v>
      </c>
      <c r="AQ416" s="39"/>
      <c r="AR416" s="39"/>
    </row>
    <row r="417" spans="4:44" ht="19" customHeight="1" thickBot="1" x14ac:dyDescent="0.45">
      <c r="D417" s="22" t="s">
        <v>16</v>
      </c>
      <c r="E417" s="20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31"/>
      <c r="AP417" s="39">
        <v>2</v>
      </c>
      <c r="AQ417" s="39"/>
      <c r="AR417" s="39"/>
    </row>
    <row r="418" spans="4:44" ht="19" customHeight="1" thickBot="1" x14ac:dyDescent="0.45">
      <c r="D418" s="22" t="s">
        <v>17</v>
      </c>
      <c r="E418" s="20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31"/>
      <c r="AP418" s="39">
        <v>4</v>
      </c>
      <c r="AQ418" s="39"/>
      <c r="AR418" s="39"/>
    </row>
    <row r="419" spans="4:44" ht="19" customHeight="1" thickBot="1" x14ac:dyDescent="0.45">
      <c r="D419" s="22" t="s">
        <v>18</v>
      </c>
      <c r="E419" s="20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31"/>
      <c r="AP419" s="39">
        <v>2</v>
      </c>
      <c r="AQ419" s="39"/>
      <c r="AR419" s="39"/>
    </row>
    <row r="420" spans="4:44" ht="19" customHeight="1" thickBot="1" x14ac:dyDescent="0.45">
      <c r="D420" s="22" t="s">
        <v>19</v>
      </c>
      <c r="E420" s="20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31"/>
      <c r="AP420" s="39">
        <v>6</v>
      </c>
      <c r="AQ420" s="39"/>
      <c r="AR420" s="39"/>
    </row>
    <row r="421" spans="4:44" ht="19" customHeight="1" thickBot="1" x14ac:dyDescent="0.45">
      <c r="D421" s="22" t="s">
        <v>20</v>
      </c>
      <c r="E421" s="20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31"/>
      <c r="AP421" s="39">
        <v>13</v>
      </c>
      <c r="AQ421" s="39"/>
      <c r="AR421" s="39"/>
    </row>
    <row r="422" spans="4:44" ht="19" customHeight="1" thickBot="1" x14ac:dyDescent="0.45">
      <c r="D422" s="22" t="s">
        <v>21</v>
      </c>
      <c r="E422" s="20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31"/>
      <c r="AP422" s="39">
        <v>1</v>
      </c>
      <c r="AQ422" s="39"/>
      <c r="AR422" s="39"/>
    </row>
    <row r="423" spans="4:44" ht="19" customHeight="1" thickBot="1" x14ac:dyDescent="0.45">
      <c r="D423" s="22" t="s">
        <v>22</v>
      </c>
      <c r="E423" s="20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31"/>
      <c r="AP423" s="39">
        <v>6</v>
      </c>
      <c r="AQ423" s="39"/>
      <c r="AR423" s="39"/>
    </row>
    <row r="424" spans="4:44" ht="19" customHeight="1" thickBot="1" x14ac:dyDescent="0.45"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</row>
    <row r="425" spans="4:44" ht="19" customHeight="1" thickBot="1" x14ac:dyDescent="0.45">
      <c r="D425" s="21" t="s">
        <v>23</v>
      </c>
      <c r="E425" s="20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31"/>
      <c r="AP425" s="39" t="s">
        <v>24</v>
      </c>
      <c r="AQ425" s="39"/>
      <c r="AR425" s="39"/>
    </row>
    <row r="426" spans="4:44" ht="19" customHeight="1" thickBot="1" x14ac:dyDescent="0.45">
      <c r="D426" s="22" t="s">
        <v>25</v>
      </c>
      <c r="E426" s="20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31"/>
      <c r="AP426" s="39" t="s">
        <v>26</v>
      </c>
      <c r="AQ426" s="39"/>
      <c r="AR426" s="39"/>
    </row>
    <row r="427" spans="4:44" ht="19" customHeight="1" thickBot="1" x14ac:dyDescent="0.45">
      <c r="D427" s="22" t="s">
        <v>27</v>
      </c>
      <c r="E427" s="20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31"/>
      <c r="AP427" s="39" t="s">
        <v>28</v>
      </c>
      <c r="AQ427" s="39"/>
      <c r="AR427" s="39"/>
    </row>
    <row r="428" spans="4:44" ht="19" customHeight="1" thickBot="1" x14ac:dyDescent="0.45">
      <c r="D428" s="22" t="s">
        <v>29</v>
      </c>
      <c r="E428" s="20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31"/>
      <c r="AP428" s="39">
        <v>34</v>
      </c>
      <c r="AQ428" s="39"/>
      <c r="AR428" s="39"/>
    </row>
    <row r="429" spans="4:44" ht="19" customHeight="1" thickBot="1" x14ac:dyDescent="0.45">
      <c r="D429" s="22" t="s">
        <v>30</v>
      </c>
      <c r="E429" s="20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31"/>
      <c r="AP429" s="39">
        <v>13</v>
      </c>
      <c r="AQ429" s="39"/>
      <c r="AR429" s="39"/>
    </row>
    <row r="430" spans="4:44" ht="19" customHeight="1" thickBot="1" x14ac:dyDescent="0.45">
      <c r="D430" s="22" t="s">
        <v>31</v>
      </c>
      <c r="E430" s="20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31"/>
      <c r="AP430" s="39">
        <v>16</v>
      </c>
      <c r="AQ430" s="39"/>
      <c r="AR430" s="39"/>
    </row>
    <row r="431" spans="4:44" ht="19" customHeight="1" thickBot="1" x14ac:dyDescent="0.45">
      <c r="D431" s="22" t="s">
        <v>32</v>
      </c>
      <c r="E431" s="20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31"/>
      <c r="AP431" s="39">
        <v>15</v>
      </c>
      <c r="AQ431" s="39"/>
      <c r="AR431" s="39"/>
    </row>
    <row r="432" spans="4:44" ht="19" customHeight="1" thickBot="1" x14ac:dyDescent="0.45"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32"/>
      <c r="AP432" s="26"/>
      <c r="AQ432" s="26"/>
      <c r="AR432" s="26"/>
    </row>
    <row r="433" spans="4:44" ht="19" customHeight="1" thickBot="1" x14ac:dyDescent="0.45">
      <c r="D433" s="21" t="s">
        <v>33</v>
      </c>
      <c r="E433" s="20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31"/>
      <c r="AP433" s="39">
        <v>3</v>
      </c>
      <c r="AQ433" s="39"/>
      <c r="AR433" s="39"/>
    </row>
    <row r="434" spans="4:44" ht="19" customHeight="1" thickBot="1" x14ac:dyDescent="0.45">
      <c r="D434" s="22" t="s">
        <v>34</v>
      </c>
      <c r="E434" s="20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31"/>
      <c r="AP434" s="39">
        <v>7</v>
      </c>
      <c r="AQ434" s="39"/>
      <c r="AR434" s="39"/>
    </row>
    <row r="435" spans="4:44" ht="19" customHeight="1" thickBot="1" x14ac:dyDescent="0.45">
      <c r="D435" s="22" t="s">
        <v>35</v>
      </c>
      <c r="E435" s="20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31"/>
      <c r="AP435" s="39">
        <v>2</v>
      </c>
      <c r="AQ435" s="39"/>
      <c r="AR435" s="39"/>
    </row>
    <row r="436" spans="4:44" ht="19" customHeight="1" thickBot="1" x14ac:dyDescent="0.45">
      <c r="D436" s="22" t="s">
        <v>36</v>
      </c>
      <c r="E436" s="20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31"/>
      <c r="AP436" s="39">
        <v>4</v>
      </c>
      <c r="AQ436" s="39"/>
      <c r="AR436" s="39"/>
    </row>
    <row r="437" spans="4:44" ht="19" customHeight="1" thickBot="1" x14ac:dyDescent="0.45">
      <c r="D437" s="22" t="s">
        <v>37</v>
      </c>
      <c r="E437" s="20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31"/>
      <c r="AP437" s="39">
        <v>2</v>
      </c>
      <c r="AQ437" s="39"/>
      <c r="AR437" s="39"/>
    </row>
    <row r="438" spans="4:44" ht="19" customHeight="1" thickBot="1" x14ac:dyDescent="0.45">
      <c r="D438" s="22" t="s">
        <v>38</v>
      </c>
      <c r="E438" s="20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31"/>
      <c r="AP438" s="39">
        <v>8</v>
      </c>
      <c r="AQ438" s="39"/>
      <c r="AR438" s="39"/>
    </row>
    <row r="439" spans="4:44" ht="19" customHeight="1" thickBot="1" x14ac:dyDescent="0.45"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33"/>
      <c r="AP439" s="34"/>
      <c r="AQ439" s="34"/>
      <c r="AR439" s="34"/>
    </row>
    <row r="440" spans="4:44" ht="19" customHeight="1" thickBot="1" x14ac:dyDescent="0.45">
      <c r="D440" s="21" t="s">
        <v>39</v>
      </c>
      <c r="E440" s="20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31"/>
      <c r="AP440" s="39">
        <v>3</v>
      </c>
      <c r="AQ440" s="39"/>
      <c r="AR440" s="39"/>
    </row>
    <row r="441" spans="4:44" ht="19" customHeight="1" thickBot="1" x14ac:dyDescent="0.45">
      <c r="D441" s="22" t="s">
        <v>40</v>
      </c>
      <c r="E441" s="20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31"/>
      <c r="AP441" s="39">
        <v>3</v>
      </c>
      <c r="AQ441" s="39"/>
      <c r="AR441" s="39"/>
    </row>
    <row r="442" spans="4:44" ht="19" customHeight="1" thickBot="1" x14ac:dyDescent="0.45">
      <c r="D442" s="22" t="s">
        <v>41</v>
      </c>
      <c r="E442" s="20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31"/>
      <c r="AP442" s="39">
        <v>2</v>
      </c>
      <c r="AQ442" s="39"/>
      <c r="AR442" s="39"/>
    </row>
    <row r="443" spans="4:44" ht="19" customHeight="1" thickBot="1" x14ac:dyDescent="0.45">
      <c r="D443" s="22" t="s">
        <v>42</v>
      </c>
      <c r="E443" s="20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31"/>
      <c r="AP443" s="39">
        <v>2</v>
      </c>
      <c r="AQ443" s="39"/>
      <c r="AR443" s="39"/>
    </row>
    <row r="444" spans="4:44" ht="19" customHeight="1" thickBot="1" x14ac:dyDescent="0.45"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32"/>
      <c r="AP444" s="26"/>
      <c r="AQ444" s="26"/>
      <c r="AR444" s="26"/>
    </row>
    <row r="445" spans="4:44" ht="19" customHeight="1" thickBot="1" x14ac:dyDescent="0.45">
      <c r="D445" s="21" t="s">
        <v>43</v>
      </c>
      <c r="E445" s="20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31"/>
      <c r="AP445" s="39">
        <v>2</v>
      </c>
      <c r="AQ445" s="39"/>
      <c r="AR445" s="39"/>
    </row>
    <row r="446" spans="4:44" ht="19" customHeight="1" thickBot="1" x14ac:dyDescent="0.45">
      <c r="D446" s="22" t="s">
        <v>44</v>
      </c>
      <c r="E446" s="20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31"/>
      <c r="AP446" s="39">
        <v>2</v>
      </c>
      <c r="AQ446" s="39"/>
      <c r="AR446" s="39"/>
    </row>
    <row r="447" spans="4:44" ht="19" customHeight="1" thickBot="1" x14ac:dyDescent="0.45">
      <c r="D447" s="22" t="s">
        <v>45</v>
      </c>
      <c r="E447" s="20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31"/>
      <c r="AP447" s="39">
        <v>1</v>
      </c>
      <c r="AQ447" s="39"/>
      <c r="AR447" s="39"/>
    </row>
    <row r="448" spans="4:44" ht="19" customHeight="1" thickBot="1" x14ac:dyDescent="0.45">
      <c r="D448" s="22" t="s">
        <v>46</v>
      </c>
      <c r="E448" s="20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31"/>
      <c r="AP448" s="39">
        <v>2</v>
      </c>
      <c r="AQ448" s="39"/>
      <c r="AR448" s="39"/>
    </row>
    <row r="449" spans="4:44" ht="19" customHeight="1" thickBot="1" x14ac:dyDescent="0.45">
      <c r="D449" s="22" t="s">
        <v>47</v>
      </c>
      <c r="E449" s="20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31"/>
      <c r="AP449" s="39">
        <v>2</v>
      </c>
      <c r="AQ449" s="39"/>
      <c r="AR449" s="39"/>
    </row>
    <row r="450" spans="4:44" ht="19" customHeight="1" thickBot="1" x14ac:dyDescent="0.45">
      <c r="D450" s="22" t="s">
        <v>48</v>
      </c>
      <c r="E450" s="20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31"/>
      <c r="AP450" s="39">
        <v>3</v>
      </c>
      <c r="AQ450" s="39"/>
      <c r="AR450" s="39"/>
    </row>
    <row r="451" spans="4:44" ht="19" customHeight="1" thickBot="1" x14ac:dyDescent="0.45">
      <c r="D451" s="22" t="s">
        <v>49</v>
      </c>
      <c r="E451" s="20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31"/>
      <c r="AP451" s="39">
        <v>2</v>
      </c>
      <c r="AQ451" s="39"/>
      <c r="AR451" s="39"/>
    </row>
    <row r="452" spans="4:44" ht="19" customHeight="1" thickBot="1" x14ac:dyDescent="0.45">
      <c r="D452" s="22" t="s">
        <v>50</v>
      </c>
      <c r="E452" s="20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31"/>
      <c r="AP452" s="39">
        <v>1</v>
      </c>
      <c r="AQ452" s="39"/>
      <c r="AR452" s="39"/>
    </row>
    <row r="453" spans="4:44" ht="19" customHeight="1" thickBot="1" x14ac:dyDescent="0.45">
      <c r="D453" s="22" t="s">
        <v>51</v>
      </c>
      <c r="E453" s="20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31"/>
      <c r="AP453" s="39">
        <v>1</v>
      </c>
      <c r="AQ453" s="39"/>
      <c r="AR453" s="39"/>
    </row>
    <row r="454" spans="4:44" ht="19" customHeight="1" thickBot="1" x14ac:dyDescent="0.45">
      <c r="D454" s="22" t="s">
        <v>52</v>
      </c>
      <c r="E454" s="20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31"/>
      <c r="AP454" s="39">
        <v>3</v>
      </c>
      <c r="AQ454" s="39"/>
      <c r="AR454" s="39"/>
    </row>
    <row r="455" spans="4:44" ht="19" customHeight="1" thickBot="1" x14ac:dyDescent="0.45">
      <c r="D455" s="22" t="s">
        <v>53</v>
      </c>
      <c r="E455" s="20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31"/>
      <c r="AP455" s="39">
        <v>2</v>
      </c>
      <c r="AQ455" s="39"/>
      <c r="AR455" s="39"/>
    </row>
    <row r="456" spans="4:44" ht="19" customHeight="1" thickBot="1" x14ac:dyDescent="0.45">
      <c r="D456" s="22" t="s">
        <v>54</v>
      </c>
      <c r="E456" s="20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31"/>
      <c r="AP456" s="39">
        <v>1</v>
      </c>
      <c r="AQ456" s="39"/>
      <c r="AR456" s="39"/>
    </row>
    <row r="457" spans="4:44" ht="19" customHeight="1" thickBot="1" x14ac:dyDescent="0.45">
      <c r="D457" s="22" t="s">
        <v>55</v>
      </c>
      <c r="E457" s="20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31"/>
      <c r="AP457" s="39">
        <v>1</v>
      </c>
      <c r="AQ457" s="39"/>
      <c r="AR457" s="39"/>
    </row>
    <row r="458" spans="4:44" ht="19" customHeight="1" thickBot="1" x14ac:dyDescent="0.45">
      <c r="D458" s="22" t="s">
        <v>56</v>
      </c>
      <c r="E458" s="20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31"/>
      <c r="AP458" s="39">
        <v>2</v>
      </c>
      <c r="AQ458" s="39"/>
      <c r="AR458" s="39"/>
    </row>
    <row r="459" spans="4:44" ht="19" customHeight="1" thickBot="1" x14ac:dyDescent="0.45">
      <c r="D459" s="22" t="s">
        <v>57</v>
      </c>
      <c r="E459" s="20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31"/>
      <c r="AP459" s="39">
        <v>2</v>
      </c>
      <c r="AQ459" s="39"/>
      <c r="AR459" s="39"/>
    </row>
    <row r="460" spans="4:44" ht="19" customHeight="1" x14ac:dyDescent="0.4">
      <c r="D460" s="8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30"/>
      <c r="AQ460" s="30"/>
      <c r="AR460" s="30"/>
    </row>
    <row r="461" spans="4:44" ht="19" customHeight="1" x14ac:dyDescent="0.4">
      <c r="D461" s="8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30"/>
      <c r="AQ461" s="30"/>
      <c r="AR461" s="30"/>
    </row>
    <row r="462" spans="4:44" ht="19" customHeight="1" x14ac:dyDescent="0.4">
      <c r="D462" s="8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30"/>
      <c r="AQ462" s="30"/>
      <c r="AR462" s="30"/>
    </row>
    <row r="463" spans="4:44" ht="19" customHeight="1" x14ac:dyDescent="0.4">
      <c r="D463" s="8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30"/>
      <c r="AQ463" s="30"/>
      <c r="AR463" s="30"/>
    </row>
    <row r="464" spans="4:44" ht="19" customHeight="1" x14ac:dyDescent="0.4">
      <c r="D464" s="8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30"/>
      <c r="AQ464" s="30"/>
      <c r="AR464" s="30"/>
    </row>
    <row r="465" spans="4:44" ht="19" customHeight="1" x14ac:dyDescent="0.4">
      <c r="D465" s="8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30"/>
      <c r="AQ465" s="30"/>
      <c r="AR465" s="30"/>
    </row>
    <row r="466" spans="4:44" ht="19" customHeight="1" x14ac:dyDescent="0.4">
      <c r="D466" s="9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30"/>
      <c r="AQ466" s="30"/>
      <c r="AR466" s="30"/>
    </row>
    <row r="467" spans="4:44" ht="19" customHeight="1" x14ac:dyDescent="0.4">
      <c r="D467" s="9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30"/>
      <c r="AQ467" s="30"/>
      <c r="AR467" s="30"/>
    </row>
    <row r="468" spans="4:44" ht="12" customHeight="1" x14ac:dyDescent="0.4"/>
    <row r="469" spans="4:44" s="10" customFormat="1" ht="19" customHeight="1" x14ac:dyDescent="0.4">
      <c r="D469" s="41">
        <f>DATE(CalendarYear,9,1)</f>
        <v>46266</v>
      </c>
      <c r="E469" s="16" t="str">
        <f>IF(DAY(SepSun1)=1,"",IF(AND(YEAR(SepSun1+1)=CalendarYear,MONTH(SepSun1+1)=9),SepSun1+1,""))</f>
        <v/>
      </c>
      <c r="F469" s="16" t="str">
        <f>IF(DAY(SepSun1)=1,"",IF(AND(YEAR(SepSun1+2)=CalendarYear,MONTH(SepSun1+2)=9),SepSun1+2,""))</f>
        <v/>
      </c>
      <c r="G469" s="16">
        <f>IF(DAY(SepSun1)=1,"",IF(AND(YEAR(SepSun1+3)=CalendarYear,MONTH(SepSun1+3)=9),SepSun1+3,""))</f>
        <v>46266</v>
      </c>
      <c r="H469" s="16">
        <f>IF(DAY(SepSun1)=1,"",IF(AND(YEAR(SepSun1+4)=CalendarYear,MONTH(SepSun1+4)=9),SepSun1+4,""))</f>
        <v>46267</v>
      </c>
      <c r="I469" s="16">
        <f>IF(DAY(SepSun1)=1,"",IF(AND(YEAR(SepSun1+5)=CalendarYear,MONTH(SepSun1+5)=9),SepSun1+5,""))</f>
        <v>46268</v>
      </c>
      <c r="J469" s="16">
        <f>IF(DAY(SepSun1)=1,"",IF(AND(YEAR(SepSun1+6)=CalendarYear,MONTH(SepSun1+6)=9),SepSun1+6,""))</f>
        <v>46269</v>
      </c>
      <c r="K469" s="16">
        <f>IF(DAY(SepSun1)=1,IF(AND(YEAR(SepSun1)=CalendarYear,MONTH(SepSun1)=9),SepSun1,""),IF(AND(YEAR(SepSun1+7)=CalendarYear,MONTH(SepSun1+7)=9),SepSun1+7,""))</f>
        <v>46270</v>
      </c>
      <c r="L469" s="16">
        <f>IF(DAY(SepSun1)=1,IF(AND(YEAR(SepSun1+1)=CalendarYear,MONTH(SepSun1+1)=9),SepSun1+1,""),IF(AND(YEAR(SepSun1+8)=CalendarYear,MONTH(SepSun1+8)=9),SepSun1+8,""))</f>
        <v>46271</v>
      </c>
      <c r="M469" s="16">
        <f>IF(DAY(SepSun1)=1,IF(AND(YEAR(SepSun1+2)=CalendarYear,MONTH(SepSun1+2)=9),SepSun1+2,""),IF(AND(YEAR(SepSun1+9)=CalendarYear,MONTH(SepSun1+9)=9),SepSun1+9,""))</f>
        <v>46272</v>
      </c>
      <c r="N469" s="16">
        <f>IF(DAY(SepSun1)=1,IF(AND(YEAR(SepSun1+3)=CalendarYear,MONTH(SepSun1+3)=9),SepSun1+3,""),IF(AND(YEAR(SepSun1+10)=CalendarYear,MONTH(SepSun1+10)=9),SepSun1+10,""))</f>
        <v>46273</v>
      </c>
      <c r="O469" s="16">
        <f>IF(DAY(SepSun1)=1,IF(AND(YEAR(SepSun1+4)=CalendarYear,MONTH(SepSun1+4)=9),SepSun1+4,""),IF(AND(YEAR(SepSun1+11)=CalendarYear,MONTH(SepSun1+11)=9),SepSun1+11,""))</f>
        <v>46274</v>
      </c>
      <c r="P469" s="16">
        <f>IF(DAY(SepSun1)=1,IF(AND(YEAR(SepSun1+5)=CalendarYear,MONTH(SepSun1+5)=9),SepSun1+5,""),IF(AND(YEAR(SepSun1+12)=CalendarYear,MONTH(SepSun1+12)=9),SepSun1+12,""))</f>
        <v>46275</v>
      </c>
      <c r="Q469" s="16">
        <f>IF(DAY(SepSun1)=1,IF(AND(YEAR(SepSun1+6)=CalendarYear,MONTH(SepSun1+6)=9),SepSun1+6,""),IF(AND(YEAR(SepSun1+13)=CalendarYear,MONTH(SepSun1+13)=9),SepSun1+13,""))</f>
        <v>46276</v>
      </c>
      <c r="R469" s="16">
        <f>IF(DAY(SepSun1)=1,IF(AND(YEAR(SepSun1+7)=CalendarYear,MONTH(SepSun1+7)=9),SepSun1+7,""),IF(AND(YEAR(SepSun1+14)=CalendarYear,MONTH(SepSun1+14)=9),SepSun1+14,""))</f>
        <v>46277</v>
      </c>
      <c r="S469" s="16">
        <f>IF(DAY(SepSun1)=1,IF(AND(YEAR(SepSun1+8)=CalendarYear,MONTH(SepSun1+8)=9),SepSun1+8,""),IF(AND(YEAR(SepSun1+15)=CalendarYear,MONTH(SepSun1+15)=9),SepSun1+15,""))</f>
        <v>46278</v>
      </c>
      <c r="T469" s="16">
        <f>IF(DAY(SepSun1)=1,IF(AND(YEAR(SepSun1+9)=CalendarYear,MONTH(SepSun1+9)=9),SepSun1+9,""),IF(AND(YEAR(SepSun1+16)=CalendarYear,MONTH(SepSun1+16)=9),SepSun1+16,""))</f>
        <v>46279</v>
      </c>
      <c r="U469" s="16">
        <f>IF(DAY(SepSun1)=1,IF(AND(YEAR(SepSun1+10)=CalendarYear,MONTH(SepSun1+10)=9),SepSun1+10,""),IF(AND(YEAR(SepSun1+17)=CalendarYear,MONTH(SepSun1+17)=9),SepSun1+17,""))</f>
        <v>46280</v>
      </c>
      <c r="V469" s="16">
        <f>IF(DAY(SepSun1)=1,IF(AND(YEAR(SepSun1+11)=CalendarYear,MONTH(SepSun1+11)=9),SepSun1+11,""),IF(AND(YEAR(SepSun1+18)=CalendarYear,MONTH(SepSun1+18)=9),SepSun1+18,""))</f>
        <v>46281</v>
      </c>
      <c r="W469" s="16">
        <f>IF(DAY(SepSun1)=1,IF(AND(YEAR(SepSun1+12)=CalendarYear,MONTH(SepSun1+12)=9),SepSun1+12,""),IF(AND(YEAR(SepSun1+19)=CalendarYear,MONTH(SepSun1+19)=9),SepSun1+19,""))</f>
        <v>46282</v>
      </c>
      <c r="X469" s="16">
        <f>IF(DAY(SepSun1)=1,IF(AND(YEAR(SepSun1+13)=CalendarYear,MONTH(SepSun1+13)=9),SepSun1+13,""),IF(AND(YEAR(SepSun1+20)=CalendarYear,MONTH(SepSun1+20)=9),SepSun1+20,""))</f>
        <v>46283</v>
      </c>
      <c r="Y469" s="16">
        <f>IF(DAY(SepSun1)=1,IF(AND(YEAR(SepSun1+14)=CalendarYear,MONTH(SepSun1+14)=9),SepSun1+14,""),IF(AND(YEAR(SepSun1+21)=CalendarYear,MONTH(SepSun1+21)=9),SepSun1+21,""))</f>
        <v>46284</v>
      </c>
      <c r="Z469" s="16">
        <f>IF(DAY(SepSun1)=1,IF(AND(YEAR(SepSun1+15)=CalendarYear,MONTH(SepSun1+15)=9),SepSun1+15,""),IF(AND(YEAR(SepSun1+22)=CalendarYear,MONTH(SepSun1+22)=9),SepSun1+22,""))</f>
        <v>46285</v>
      </c>
      <c r="AA469" s="16">
        <f>IF(DAY(SepSun1)=1,IF(AND(YEAR(SepSun1+16)=CalendarYear,MONTH(SepSun1+16)=9),SepSun1+16,""),IF(AND(YEAR(SepSun1+23)=CalendarYear,MONTH(SepSun1+23)=9),SepSun1+23,""))</f>
        <v>46286</v>
      </c>
      <c r="AB469" s="16">
        <f>IF(DAY(SepSun1)=1,IF(AND(YEAR(SepSun1+17)=CalendarYear,MONTH(SepSun1+17)=9),SepSun1+17,""),IF(AND(YEAR(SepSun1+24)=CalendarYear,MONTH(SepSun1+24)=9),SepSun1+24,""))</f>
        <v>46287</v>
      </c>
      <c r="AC469" s="16">
        <f>IF(DAY(SepSun1)=1,IF(AND(YEAR(SepSun1+18)=CalendarYear,MONTH(SepSun1+18)=9),SepSun1+18,""),IF(AND(YEAR(SepSun1+25)=CalendarYear,MONTH(SepSun1+25)=9),SepSun1+25,""))</f>
        <v>46288</v>
      </c>
      <c r="AD469" s="16">
        <f>IF(DAY(SepSun1)=1,IF(AND(YEAR(SepSun1+19)=CalendarYear,MONTH(SepSun1+19)=9),SepSun1+19,""),IF(AND(YEAR(SepSun1+26)=CalendarYear,MONTH(SepSun1+26)=9),SepSun1+26,""))</f>
        <v>46289</v>
      </c>
      <c r="AE469" s="16">
        <f>IF(DAY(SepSun1)=1,IF(AND(YEAR(SepSun1+20)=CalendarYear,MONTH(SepSun1+20)=9),SepSun1+20,""),IF(AND(YEAR(SepSun1+27)=CalendarYear,MONTH(SepSun1+27)=9),SepSun1+27,""))</f>
        <v>46290</v>
      </c>
      <c r="AF469" s="16">
        <f>IF(DAY(SepSun1)=1,IF(AND(YEAR(SepSun1+21)=CalendarYear,MONTH(SepSun1+21)=9),SepSun1+21,""),IF(AND(YEAR(SepSun1+28)=CalendarYear,MONTH(SepSun1+28)=9),SepSun1+28,""))</f>
        <v>46291</v>
      </c>
      <c r="AG469" s="16">
        <f>IF(DAY(SepSun1)=1,IF(AND(YEAR(SepSun1+22)=CalendarYear,MONTH(SepSun1+22)=9),SepSun1+22,""),IF(AND(YEAR(SepSun1+29)=CalendarYear,MONTH(SepSun1+29)=9),SepSun1+29,""))</f>
        <v>46292</v>
      </c>
      <c r="AH469" s="16">
        <f>IF(DAY(SepSun1)=1,IF(AND(YEAR(SepSun1+23)=CalendarYear,MONTH(SepSun1+23)=9),SepSun1+23,""),IF(AND(YEAR(SepSun1+30)=CalendarYear,MONTH(SepSun1+30)=9),SepSun1+30,""))</f>
        <v>46293</v>
      </c>
      <c r="AI469" s="16">
        <f>IF(DAY(SepSun1)=1,IF(AND(YEAR(SepSun1+24)=CalendarYear,MONTH(SepSun1+24)=9),SepSun1+24,""),IF(AND(YEAR(SepSun1+31)=CalendarYear,MONTH(SepSun1+31)=9),SepSun1+31,""))</f>
        <v>46294</v>
      </c>
      <c r="AJ469" s="16">
        <f>IF(DAY(SepSun1)=1,IF(AND(YEAR(SepSun1+25)=CalendarYear,MONTH(SepSun1+25)=9),SepSun1+25,""),IF(AND(YEAR(SepSun1+32)=CalendarYear,MONTH(SepSun1+32)=9),SepSun1+32,""))</f>
        <v>46295</v>
      </c>
      <c r="AK469" s="16" t="str">
        <f>IF(DAY(SepSun1)=1,IF(AND(YEAR(SepSun1+26)=CalendarYear,MONTH(SepSun1+26)=9),SepSun1+26,""),IF(AND(YEAR(SepSun1+33)=CalendarYear,MONTH(SepSun1+33)=9),SepSun1+33,""))</f>
        <v/>
      </c>
      <c r="AL469" s="16" t="str">
        <f>IF(DAY(SepSun1)=1,IF(AND(YEAR(SepSun1+27)=CalendarYear,MONTH(SepSun1+27)=9),SepSun1+27,""),IF(AND(YEAR(SepSun1+34)=CalendarYear,MONTH(SepSun1+34)=9),SepSun1+34,""))</f>
        <v/>
      </c>
      <c r="AM469" s="16" t="str">
        <f>IF(DAY(SepSun1)=1,IF(AND(YEAR(SepSun1+28)=CalendarYear,MONTH(SepSun1+28)=9),SepSun1+28,""),IF(AND(YEAR(SepSun1+35)=CalendarYear,MONTH(SepSun1+35)=9),SepSun1+35,""))</f>
        <v/>
      </c>
      <c r="AN469" s="16" t="str">
        <f>IF(DAY(SepSun1)=1,IF(AND(YEAR(SepSun1+29)=CalendarYear,MONTH(SepSun1+29)=9),SepSun1+29,""),IF(AND(YEAR(SepSun1+36)=CalendarYear,MONTH(SepSun1+36)=9),SepSun1+36,""))</f>
        <v/>
      </c>
      <c r="AO469" s="17" t="str">
        <f>IF(DAY(SepSun1)=1,IF(AND(YEAR(SepSun1+30)=CalendarYear,MONTH(SepSun1+30)=9),SepSun1+30,""),IF(AND(YEAR(SepSun1+37)=CalendarYear,MONTH(SepSun1+37)=9),SepSun1+37,""))</f>
        <v/>
      </c>
      <c r="AP469" s="29"/>
      <c r="AQ469" s="29"/>
      <c r="AR469" s="29"/>
    </row>
    <row r="470" spans="4:44" s="10" customFormat="1" ht="19" customHeight="1" thickBot="1" x14ac:dyDescent="0.45">
      <c r="D470" s="43"/>
      <c r="E470" s="18" t="s">
        <v>2</v>
      </c>
      <c r="F470" s="18" t="s">
        <v>3</v>
      </c>
      <c r="G470" s="18" t="s">
        <v>4</v>
      </c>
      <c r="H470" s="18" t="s">
        <v>5</v>
      </c>
      <c r="I470" s="18" t="s">
        <v>6</v>
      </c>
      <c r="J470" s="18" t="s">
        <v>7</v>
      </c>
      <c r="K470" s="18" t="s">
        <v>8</v>
      </c>
      <c r="L470" s="18" t="s">
        <v>2</v>
      </c>
      <c r="M470" s="18" t="s">
        <v>3</v>
      </c>
      <c r="N470" s="18" t="s">
        <v>4</v>
      </c>
      <c r="O470" s="18" t="s">
        <v>5</v>
      </c>
      <c r="P470" s="18" t="s">
        <v>6</v>
      </c>
      <c r="Q470" s="18" t="s">
        <v>7</v>
      </c>
      <c r="R470" s="18" t="s">
        <v>8</v>
      </c>
      <c r="S470" s="18" t="s">
        <v>2</v>
      </c>
      <c r="T470" s="18" t="s">
        <v>3</v>
      </c>
      <c r="U470" s="18" t="s">
        <v>4</v>
      </c>
      <c r="V470" s="18" t="s">
        <v>5</v>
      </c>
      <c r="W470" s="18" t="s">
        <v>6</v>
      </c>
      <c r="X470" s="18" t="s">
        <v>7</v>
      </c>
      <c r="Y470" s="18" t="s">
        <v>8</v>
      </c>
      <c r="Z470" s="18" t="s">
        <v>2</v>
      </c>
      <c r="AA470" s="18" t="s">
        <v>3</v>
      </c>
      <c r="AB470" s="18" t="s">
        <v>4</v>
      </c>
      <c r="AC470" s="18" t="s">
        <v>5</v>
      </c>
      <c r="AD470" s="18" t="s">
        <v>6</v>
      </c>
      <c r="AE470" s="18" t="s">
        <v>7</v>
      </c>
      <c r="AF470" s="18" t="s">
        <v>8</v>
      </c>
      <c r="AG470" s="18" t="s">
        <v>2</v>
      </c>
      <c r="AH470" s="18" t="s">
        <v>3</v>
      </c>
      <c r="AI470" s="18" t="s">
        <v>4</v>
      </c>
      <c r="AJ470" s="18" t="s">
        <v>5</v>
      </c>
      <c r="AK470" s="18" t="s">
        <v>6</v>
      </c>
      <c r="AL470" s="18" t="s">
        <v>7</v>
      </c>
      <c r="AM470" s="18" t="s">
        <v>8</v>
      </c>
      <c r="AN470" s="18" t="s">
        <v>2</v>
      </c>
      <c r="AO470" s="19" t="s">
        <v>3</v>
      </c>
      <c r="AP470" s="23"/>
      <c r="AQ470" s="23"/>
      <c r="AR470" s="23"/>
    </row>
    <row r="471" spans="4:44" ht="19" customHeight="1" thickBot="1" x14ac:dyDescent="0.45">
      <c r="D471" s="21" t="s">
        <v>10</v>
      </c>
      <c r="E471" s="20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31"/>
      <c r="AP471" s="39">
        <v>2</v>
      </c>
      <c r="AQ471" s="39"/>
      <c r="AR471" s="39"/>
    </row>
    <row r="472" spans="4:44" ht="19" customHeight="1" thickBot="1" x14ac:dyDescent="0.45">
      <c r="D472" s="22" t="s">
        <v>11</v>
      </c>
      <c r="E472" s="20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31"/>
      <c r="AP472" s="39">
        <v>32</v>
      </c>
      <c r="AQ472" s="39"/>
      <c r="AR472" s="39"/>
    </row>
    <row r="473" spans="4:44" ht="19" customHeight="1" thickBot="1" x14ac:dyDescent="0.45">
      <c r="D473" s="22" t="s">
        <v>12</v>
      </c>
      <c r="E473" s="20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31"/>
      <c r="AP473" s="39">
        <v>61</v>
      </c>
      <c r="AQ473" s="39"/>
      <c r="AR473" s="39"/>
    </row>
    <row r="474" spans="4:44" ht="19" customHeight="1" thickBot="1" x14ac:dyDescent="0.45">
      <c r="D474" s="22" t="s">
        <v>13</v>
      </c>
      <c r="E474" s="20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31"/>
      <c r="AP474" s="39">
        <v>7</v>
      </c>
      <c r="AQ474" s="39"/>
      <c r="AR474" s="39"/>
    </row>
    <row r="475" spans="4:44" ht="19" customHeight="1" thickBot="1" x14ac:dyDescent="0.45">
      <c r="D475" s="22" t="s">
        <v>14</v>
      </c>
      <c r="E475" s="20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31"/>
      <c r="AP475" s="39">
        <v>7</v>
      </c>
      <c r="AQ475" s="39"/>
      <c r="AR475" s="39"/>
    </row>
    <row r="476" spans="4:44" ht="19" customHeight="1" thickBot="1" x14ac:dyDescent="0.45">
      <c r="D476" s="22" t="s">
        <v>15</v>
      </c>
      <c r="E476" s="20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31"/>
      <c r="AP476" s="39">
        <v>10</v>
      </c>
      <c r="AQ476" s="39"/>
      <c r="AR476" s="39"/>
    </row>
    <row r="477" spans="4:44" ht="19" customHeight="1" thickBot="1" x14ac:dyDescent="0.45">
      <c r="D477" s="22" t="s">
        <v>16</v>
      </c>
      <c r="E477" s="20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31"/>
      <c r="AP477" s="39">
        <v>2</v>
      </c>
      <c r="AQ477" s="39"/>
      <c r="AR477" s="39"/>
    </row>
    <row r="478" spans="4:44" ht="19" customHeight="1" thickBot="1" x14ac:dyDescent="0.45">
      <c r="D478" s="22" t="s">
        <v>17</v>
      </c>
      <c r="E478" s="20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31"/>
      <c r="AP478" s="39">
        <v>4</v>
      </c>
      <c r="AQ478" s="39"/>
      <c r="AR478" s="39"/>
    </row>
    <row r="479" spans="4:44" ht="19" customHeight="1" thickBot="1" x14ac:dyDescent="0.45">
      <c r="D479" s="22" t="s">
        <v>18</v>
      </c>
      <c r="E479" s="20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31"/>
      <c r="AP479" s="39">
        <v>2</v>
      </c>
      <c r="AQ479" s="39"/>
      <c r="AR479" s="39"/>
    </row>
    <row r="480" spans="4:44" ht="19" customHeight="1" thickBot="1" x14ac:dyDescent="0.45">
      <c r="D480" s="22" t="s">
        <v>19</v>
      </c>
      <c r="E480" s="20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31"/>
      <c r="AP480" s="39">
        <v>6</v>
      </c>
      <c r="AQ480" s="39"/>
      <c r="AR480" s="39"/>
    </row>
    <row r="481" spans="4:44" ht="19" customHeight="1" thickBot="1" x14ac:dyDescent="0.45">
      <c r="D481" s="22" t="s">
        <v>20</v>
      </c>
      <c r="E481" s="20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31"/>
      <c r="AP481" s="39">
        <v>13</v>
      </c>
      <c r="AQ481" s="39"/>
      <c r="AR481" s="39"/>
    </row>
    <row r="482" spans="4:44" ht="19" customHeight="1" thickBot="1" x14ac:dyDescent="0.45">
      <c r="D482" s="22" t="s">
        <v>21</v>
      </c>
      <c r="E482" s="20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31"/>
      <c r="AP482" s="39">
        <v>1</v>
      </c>
      <c r="AQ482" s="39"/>
      <c r="AR482" s="39"/>
    </row>
    <row r="483" spans="4:44" ht="19" customHeight="1" thickBot="1" x14ac:dyDescent="0.45">
      <c r="D483" s="22" t="s">
        <v>22</v>
      </c>
      <c r="E483" s="20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31"/>
      <c r="AP483" s="39">
        <v>6</v>
      </c>
      <c r="AQ483" s="39"/>
      <c r="AR483" s="39"/>
    </row>
    <row r="484" spans="4:44" ht="19" customHeight="1" thickBot="1" x14ac:dyDescent="0.45"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  <c r="AQ484" s="26"/>
      <c r="AR484" s="26"/>
    </row>
    <row r="485" spans="4:44" ht="19" customHeight="1" thickBot="1" x14ac:dyDescent="0.45">
      <c r="D485" s="21" t="s">
        <v>23</v>
      </c>
      <c r="E485" s="20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31"/>
      <c r="AP485" s="39" t="s">
        <v>24</v>
      </c>
      <c r="AQ485" s="39"/>
      <c r="AR485" s="39"/>
    </row>
    <row r="486" spans="4:44" ht="19" customHeight="1" thickBot="1" x14ac:dyDescent="0.45">
      <c r="D486" s="22" t="s">
        <v>25</v>
      </c>
      <c r="E486" s="20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31"/>
      <c r="AP486" s="39" t="s">
        <v>26</v>
      </c>
      <c r="AQ486" s="39"/>
      <c r="AR486" s="39"/>
    </row>
    <row r="487" spans="4:44" ht="19" customHeight="1" thickBot="1" x14ac:dyDescent="0.45">
      <c r="D487" s="22" t="s">
        <v>27</v>
      </c>
      <c r="E487" s="20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31"/>
      <c r="AP487" s="39" t="s">
        <v>28</v>
      </c>
      <c r="AQ487" s="39"/>
      <c r="AR487" s="39"/>
    </row>
    <row r="488" spans="4:44" ht="19" customHeight="1" thickBot="1" x14ac:dyDescent="0.45">
      <c r="D488" s="22" t="s">
        <v>29</v>
      </c>
      <c r="E488" s="20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31"/>
      <c r="AP488" s="39">
        <v>34</v>
      </c>
      <c r="AQ488" s="39"/>
      <c r="AR488" s="39"/>
    </row>
    <row r="489" spans="4:44" ht="19" customHeight="1" thickBot="1" x14ac:dyDescent="0.45">
      <c r="D489" s="22" t="s">
        <v>30</v>
      </c>
      <c r="E489" s="20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31"/>
      <c r="AP489" s="39">
        <v>13</v>
      </c>
      <c r="AQ489" s="39"/>
      <c r="AR489" s="39"/>
    </row>
    <row r="490" spans="4:44" ht="19" customHeight="1" thickBot="1" x14ac:dyDescent="0.45">
      <c r="D490" s="22" t="s">
        <v>31</v>
      </c>
      <c r="E490" s="20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31"/>
      <c r="AP490" s="39">
        <v>16</v>
      </c>
      <c r="AQ490" s="39"/>
      <c r="AR490" s="39"/>
    </row>
    <row r="491" spans="4:44" ht="19" customHeight="1" thickBot="1" x14ac:dyDescent="0.45">
      <c r="D491" s="22" t="s">
        <v>32</v>
      </c>
      <c r="E491" s="20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31"/>
      <c r="AP491" s="39">
        <v>15</v>
      </c>
      <c r="AQ491" s="39"/>
      <c r="AR491" s="39"/>
    </row>
    <row r="492" spans="4:44" ht="19" customHeight="1" thickBot="1" x14ac:dyDescent="0.45"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  <c r="AO492" s="32"/>
      <c r="AP492" s="26"/>
      <c r="AQ492" s="26"/>
      <c r="AR492" s="26"/>
    </row>
    <row r="493" spans="4:44" ht="19" customHeight="1" thickBot="1" x14ac:dyDescent="0.45">
      <c r="D493" s="21" t="s">
        <v>33</v>
      </c>
      <c r="E493" s="20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31"/>
      <c r="AP493" s="39">
        <v>3</v>
      </c>
      <c r="AQ493" s="39"/>
      <c r="AR493" s="39"/>
    </row>
    <row r="494" spans="4:44" ht="19" customHeight="1" thickBot="1" x14ac:dyDescent="0.45">
      <c r="D494" s="22" t="s">
        <v>34</v>
      </c>
      <c r="E494" s="20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31"/>
      <c r="AP494" s="39">
        <v>7</v>
      </c>
      <c r="AQ494" s="39"/>
      <c r="AR494" s="39"/>
    </row>
    <row r="495" spans="4:44" ht="19" customHeight="1" thickBot="1" x14ac:dyDescent="0.45">
      <c r="D495" s="22" t="s">
        <v>35</v>
      </c>
      <c r="E495" s="20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31"/>
      <c r="AP495" s="39">
        <v>2</v>
      </c>
      <c r="AQ495" s="39"/>
      <c r="AR495" s="39"/>
    </row>
    <row r="496" spans="4:44" ht="19" customHeight="1" thickBot="1" x14ac:dyDescent="0.45">
      <c r="D496" s="22" t="s">
        <v>36</v>
      </c>
      <c r="E496" s="20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31"/>
      <c r="AP496" s="39">
        <v>4</v>
      </c>
      <c r="AQ496" s="39"/>
      <c r="AR496" s="39"/>
    </row>
    <row r="497" spans="4:44" ht="19" customHeight="1" thickBot="1" x14ac:dyDescent="0.45">
      <c r="D497" s="22" t="s">
        <v>37</v>
      </c>
      <c r="E497" s="20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31"/>
      <c r="AP497" s="39">
        <v>2</v>
      </c>
      <c r="AQ497" s="39"/>
      <c r="AR497" s="39"/>
    </row>
    <row r="498" spans="4:44" ht="19" customHeight="1" thickBot="1" x14ac:dyDescent="0.45">
      <c r="D498" s="22" t="s">
        <v>38</v>
      </c>
      <c r="E498" s="20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31"/>
      <c r="AP498" s="39">
        <v>8</v>
      </c>
      <c r="AQ498" s="39"/>
      <c r="AR498" s="39"/>
    </row>
    <row r="499" spans="4:44" ht="19" customHeight="1" thickBot="1" x14ac:dyDescent="0.45"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33"/>
      <c r="AP499" s="34"/>
      <c r="AQ499" s="34"/>
      <c r="AR499" s="34"/>
    </row>
    <row r="500" spans="4:44" ht="19" customHeight="1" thickBot="1" x14ac:dyDescent="0.45">
      <c r="D500" s="21" t="s">
        <v>39</v>
      </c>
      <c r="E500" s="20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31"/>
      <c r="AP500" s="39">
        <v>3</v>
      </c>
      <c r="AQ500" s="39"/>
      <c r="AR500" s="39"/>
    </row>
    <row r="501" spans="4:44" ht="19" customHeight="1" thickBot="1" x14ac:dyDescent="0.45">
      <c r="D501" s="22" t="s">
        <v>40</v>
      </c>
      <c r="E501" s="20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31"/>
      <c r="AP501" s="39">
        <v>3</v>
      </c>
      <c r="AQ501" s="39"/>
      <c r="AR501" s="39"/>
    </row>
    <row r="502" spans="4:44" ht="19" customHeight="1" thickBot="1" x14ac:dyDescent="0.45">
      <c r="D502" s="22" t="s">
        <v>41</v>
      </c>
      <c r="E502" s="20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31"/>
      <c r="AP502" s="39">
        <v>2</v>
      </c>
      <c r="AQ502" s="39"/>
      <c r="AR502" s="39"/>
    </row>
    <row r="503" spans="4:44" ht="19" customHeight="1" thickBot="1" x14ac:dyDescent="0.45">
      <c r="D503" s="22" t="s">
        <v>42</v>
      </c>
      <c r="E503" s="20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31"/>
      <c r="AP503" s="39">
        <v>2</v>
      </c>
      <c r="AQ503" s="39"/>
      <c r="AR503" s="39"/>
    </row>
    <row r="504" spans="4:44" ht="19" customHeight="1" thickBot="1" x14ac:dyDescent="0.45"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32"/>
      <c r="AP504" s="26"/>
      <c r="AQ504" s="26"/>
      <c r="AR504" s="26"/>
    </row>
    <row r="505" spans="4:44" ht="19" customHeight="1" thickBot="1" x14ac:dyDescent="0.45">
      <c r="D505" s="21" t="s">
        <v>43</v>
      </c>
      <c r="E505" s="20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31"/>
      <c r="AP505" s="39">
        <v>2</v>
      </c>
      <c r="AQ505" s="39"/>
      <c r="AR505" s="39"/>
    </row>
    <row r="506" spans="4:44" ht="19" customHeight="1" thickBot="1" x14ac:dyDescent="0.45">
      <c r="D506" s="22" t="s">
        <v>44</v>
      </c>
      <c r="E506" s="20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31"/>
      <c r="AP506" s="39">
        <v>2</v>
      </c>
      <c r="AQ506" s="39"/>
      <c r="AR506" s="39"/>
    </row>
    <row r="507" spans="4:44" ht="19" customHeight="1" thickBot="1" x14ac:dyDescent="0.45">
      <c r="D507" s="22" t="s">
        <v>45</v>
      </c>
      <c r="E507" s="20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31"/>
      <c r="AP507" s="39">
        <v>1</v>
      </c>
      <c r="AQ507" s="39"/>
      <c r="AR507" s="39"/>
    </row>
    <row r="508" spans="4:44" ht="19" customHeight="1" thickBot="1" x14ac:dyDescent="0.45">
      <c r="D508" s="22" t="s">
        <v>46</v>
      </c>
      <c r="E508" s="20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31"/>
      <c r="AP508" s="39">
        <v>2</v>
      </c>
      <c r="AQ508" s="39"/>
      <c r="AR508" s="39"/>
    </row>
    <row r="509" spans="4:44" ht="19" customHeight="1" thickBot="1" x14ac:dyDescent="0.45">
      <c r="D509" s="22" t="s">
        <v>47</v>
      </c>
      <c r="E509" s="20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31"/>
      <c r="AP509" s="39">
        <v>2</v>
      </c>
      <c r="AQ509" s="39"/>
      <c r="AR509" s="39"/>
    </row>
    <row r="510" spans="4:44" ht="19" customHeight="1" thickBot="1" x14ac:dyDescent="0.45">
      <c r="D510" s="22" t="s">
        <v>48</v>
      </c>
      <c r="E510" s="20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31"/>
      <c r="AP510" s="39">
        <v>3</v>
      </c>
      <c r="AQ510" s="39"/>
      <c r="AR510" s="39"/>
    </row>
    <row r="511" spans="4:44" ht="19" customHeight="1" thickBot="1" x14ac:dyDescent="0.45">
      <c r="D511" s="22" t="s">
        <v>49</v>
      </c>
      <c r="E511" s="20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31"/>
      <c r="AP511" s="39">
        <v>2</v>
      </c>
      <c r="AQ511" s="39"/>
      <c r="AR511" s="39"/>
    </row>
    <row r="512" spans="4:44" ht="19" customHeight="1" thickBot="1" x14ac:dyDescent="0.45">
      <c r="D512" s="22" t="s">
        <v>50</v>
      </c>
      <c r="E512" s="20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31"/>
      <c r="AP512" s="39">
        <v>1</v>
      </c>
      <c r="AQ512" s="39"/>
      <c r="AR512" s="39"/>
    </row>
    <row r="513" spans="4:44" ht="19" customHeight="1" thickBot="1" x14ac:dyDescent="0.45">
      <c r="D513" s="22" t="s">
        <v>51</v>
      </c>
      <c r="E513" s="20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31"/>
      <c r="AP513" s="39">
        <v>1</v>
      </c>
      <c r="AQ513" s="39"/>
      <c r="AR513" s="39"/>
    </row>
    <row r="514" spans="4:44" ht="19" customHeight="1" thickBot="1" x14ac:dyDescent="0.45">
      <c r="D514" s="22" t="s">
        <v>52</v>
      </c>
      <c r="E514" s="20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31"/>
      <c r="AP514" s="39">
        <v>3</v>
      </c>
      <c r="AQ514" s="39"/>
      <c r="AR514" s="39"/>
    </row>
    <row r="515" spans="4:44" ht="19" customHeight="1" thickBot="1" x14ac:dyDescent="0.45">
      <c r="D515" s="22" t="s">
        <v>53</v>
      </c>
      <c r="E515" s="20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31"/>
      <c r="AP515" s="39">
        <v>2</v>
      </c>
      <c r="AQ515" s="39"/>
      <c r="AR515" s="39"/>
    </row>
    <row r="516" spans="4:44" ht="19" customHeight="1" thickBot="1" x14ac:dyDescent="0.45">
      <c r="D516" s="22" t="s">
        <v>54</v>
      </c>
      <c r="E516" s="20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31"/>
      <c r="AP516" s="39">
        <v>1</v>
      </c>
      <c r="AQ516" s="39"/>
      <c r="AR516" s="39"/>
    </row>
    <row r="517" spans="4:44" ht="19" customHeight="1" thickBot="1" x14ac:dyDescent="0.45">
      <c r="D517" s="22" t="s">
        <v>55</v>
      </c>
      <c r="E517" s="20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31"/>
      <c r="AP517" s="39">
        <v>1</v>
      </c>
      <c r="AQ517" s="39"/>
      <c r="AR517" s="39"/>
    </row>
    <row r="518" spans="4:44" ht="19" customHeight="1" thickBot="1" x14ac:dyDescent="0.45">
      <c r="D518" s="22" t="s">
        <v>56</v>
      </c>
      <c r="E518" s="20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31"/>
      <c r="AP518" s="39">
        <v>2</v>
      </c>
      <c r="AQ518" s="39"/>
      <c r="AR518" s="39"/>
    </row>
    <row r="519" spans="4:44" ht="19" customHeight="1" thickBot="1" x14ac:dyDescent="0.45">
      <c r="D519" s="22" t="s">
        <v>57</v>
      </c>
      <c r="E519" s="20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31"/>
      <c r="AP519" s="39">
        <v>2</v>
      </c>
      <c r="AQ519" s="39"/>
      <c r="AR519" s="39"/>
    </row>
    <row r="520" spans="4:44" ht="19" customHeight="1" x14ac:dyDescent="0.4">
      <c r="D520" s="8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30"/>
      <c r="AQ520" s="30"/>
      <c r="AR520" s="30"/>
    </row>
    <row r="521" spans="4:44" ht="19" customHeight="1" x14ac:dyDescent="0.4">
      <c r="D521" s="8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30"/>
      <c r="AQ521" s="30"/>
      <c r="AR521" s="30"/>
    </row>
    <row r="522" spans="4:44" ht="19" customHeight="1" x14ac:dyDescent="0.4">
      <c r="D522" s="8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30"/>
      <c r="AQ522" s="30"/>
      <c r="AR522" s="30"/>
    </row>
    <row r="523" spans="4:44" ht="19" customHeight="1" x14ac:dyDescent="0.4">
      <c r="D523" s="8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30"/>
      <c r="AQ523" s="30"/>
      <c r="AR523" s="30"/>
    </row>
    <row r="524" spans="4:44" ht="19" customHeight="1" x14ac:dyDescent="0.4">
      <c r="D524" s="8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30"/>
      <c r="AQ524" s="30"/>
      <c r="AR524" s="30"/>
    </row>
    <row r="525" spans="4:44" ht="19" customHeight="1" x14ac:dyDescent="0.4">
      <c r="D525" s="8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30"/>
      <c r="AQ525" s="30"/>
      <c r="AR525" s="30"/>
    </row>
    <row r="526" spans="4:44" ht="19" customHeight="1" x14ac:dyDescent="0.4">
      <c r="D526" s="8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30"/>
      <c r="AQ526" s="30"/>
      <c r="AR526" s="30"/>
    </row>
    <row r="527" spans="4:44" ht="19" customHeight="1" x14ac:dyDescent="0.4">
      <c r="D527" s="8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30"/>
      <c r="AQ527" s="30"/>
      <c r="AR527" s="30"/>
    </row>
    <row r="528" spans="4:44" ht="19" customHeight="1" x14ac:dyDescent="0.4">
      <c r="D528" s="9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30"/>
      <c r="AQ528" s="30"/>
      <c r="AR528" s="30"/>
    </row>
    <row r="529" spans="4:44" ht="19" customHeight="1" x14ac:dyDescent="0.4">
      <c r="D529" s="9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30"/>
      <c r="AQ529" s="30"/>
      <c r="AR529" s="30"/>
    </row>
    <row r="530" spans="4:44" ht="12" customHeight="1" x14ac:dyDescent="0.4"/>
    <row r="531" spans="4:44" s="10" customFormat="1" ht="19" customHeight="1" x14ac:dyDescent="0.4">
      <c r="D531" s="41">
        <f>DATE(CalendarYear,10,1)</f>
        <v>46296</v>
      </c>
      <c r="E531" s="16" t="str">
        <f>IF(DAY(OctSun1)=1,"",IF(AND(YEAR(OctSun1+1)=CalendarYear,MONTH(OctSun1+1)=10),OctSun1+1,""))</f>
        <v/>
      </c>
      <c r="F531" s="16" t="str">
        <f>IF(DAY(OctSun1)=1,"",IF(AND(YEAR(OctSun1+2)=CalendarYear,MONTH(OctSun1+2)=10),OctSun1+2,""))</f>
        <v/>
      </c>
      <c r="G531" s="16" t="str">
        <f>IF(DAY(OctSun1)=1,"",IF(AND(YEAR(OctSun1+3)=CalendarYear,MONTH(OctSun1+3)=10),OctSun1+3,""))</f>
        <v/>
      </c>
      <c r="H531" s="16" t="str">
        <f>IF(DAY(OctSun1)=1,"",IF(AND(YEAR(OctSun1+4)=CalendarYear,MONTH(OctSun1+4)=10),OctSun1+4,""))</f>
        <v/>
      </c>
      <c r="I531" s="16">
        <f>IF(DAY(OctSun1)=1,"",IF(AND(YEAR(OctSun1+5)=CalendarYear,MONTH(OctSun1+5)=10),OctSun1+5,""))</f>
        <v>46296</v>
      </c>
      <c r="J531" s="16">
        <f>IF(DAY(OctSun1)=1,"",IF(AND(YEAR(OctSun1+6)=CalendarYear,MONTH(OctSun1+6)=10),OctSun1+6,""))</f>
        <v>46297</v>
      </c>
      <c r="K531" s="16">
        <f>IF(DAY(OctSun1)=1,IF(AND(YEAR(OctSun1)=CalendarYear,MONTH(OctSun1)=10),OctSun1,""),IF(AND(YEAR(OctSun1+7)=CalendarYear,MONTH(OctSun1+7)=10),OctSun1+7,""))</f>
        <v>46298</v>
      </c>
      <c r="L531" s="16">
        <f>IF(DAY(OctSun1)=1,IF(AND(YEAR(OctSun1+1)=CalendarYear,MONTH(OctSun1+1)=10),OctSun1+1,""),IF(AND(YEAR(OctSun1+8)=CalendarYear,MONTH(OctSun1+8)=10),OctSun1+8,""))</f>
        <v>46299</v>
      </c>
      <c r="M531" s="16">
        <f>IF(DAY(OctSun1)=1,IF(AND(YEAR(OctSun1+2)=CalendarYear,MONTH(OctSun1+2)=10),OctSun1+2,""),IF(AND(YEAR(OctSun1+9)=CalendarYear,MONTH(OctSun1+9)=10),OctSun1+9,""))</f>
        <v>46300</v>
      </c>
      <c r="N531" s="16">
        <f>IF(DAY(OctSun1)=1,IF(AND(YEAR(OctSun1+3)=CalendarYear,MONTH(OctSun1+3)=10),OctSun1+3,""),IF(AND(YEAR(OctSun1+10)=CalendarYear,MONTH(OctSun1+10)=10),OctSun1+10,""))</f>
        <v>46301</v>
      </c>
      <c r="O531" s="16">
        <f>IF(DAY(OctSun1)=1,IF(AND(YEAR(OctSun1+4)=CalendarYear,MONTH(OctSun1+4)=10),OctSun1+4,""),IF(AND(YEAR(OctSun1+11)=CalendarYear,MONTH(OctSun1+11)=10),OctSun1+11,""))</f>
        <v>46302</v>
      </c>
      <c r="P531" s="16">
        <f>IF(DAY(OctSun1)=1,IF(AND(YEAR(OctSun1+5)=CalendarYear,MONTH(OctSun1+5)=10),OctSun1+5,""),IF(AND(YEAR(OctSun1+12)=CalendarYear,MONTH(OctSun1+12)=10),OctSun1+12,""))</f>
        <v>46303</v>
      </c>
      <c r="Q531" s="16">
        <f>IF(DAY(OctSun1)=1,IF(AND(YEAR(OctSun1+6)=CalendarYear,MONTH(OctSun1+6)=10),OctSun1+6,""),IF(AND(YEAR(OctSun1+13)=CalendarYear,MONTH(OctSun1+13)=10),OctSun1+13,""))</f>
        <v>46304</v>
      </c>
      <c r="R531" s="16">
        <f>IF(DAY(OctSun1)=1,IF(AND(YEAR(OctSun1+7)=CalendarYear,MONTH(OctSun1+7)=10),OctSun1+7,""),IF(AND(YEAR(OctSun1+14)=CalendarYear,MONTH(OctSun1+14)=10),OctSun1+14,""))</f>
        <v>46305</v>
      </c>
      <c r="S531" s="16">
        <f>IF(DAY(OctSun1)=1,IF(AND(YEAR(OctSun1+8)=CalendarYear,MONTH(OctSun1+8)=10),OctSun1+8,""),IF(AND(YEAR(OctSun1+15)=CalendarYear,MONTH(OctSun1+15)=10),OctSun1+15,""))</f>
        <v>46306</v>
      </c>
      <c r="T531" s="16">
        <f>IF(DAY(OctSun1)=1,IF(AND(YEAR(OctSun1+9)=CalendarYear,MONTH(OctSun1+9)=10),OctSun1+9,""),IF(AND(YEAR(OctSun1+16)=CalendarYear,MONTH(OctSun1+16)=10),OctSun1+16,""))</f>
        <v>46307</v>
      </c>
      <c r="U531" s="16">
        <f>IF(DAY(OctSun1)=1,IF(AND(YEAR(OctSun1+10)=CalendarYear,MONTH(OctSun1+10)=10),OctSun1+10,""),IF(AND(YEAR(OctSun1+17)=CalendarYear,MONTH(OctSun1+17)=10),OctSun1+17,""))</f>
        <v>46308</v>
      </c>
      <c r="V531" s="16">
        <f>IF(DAY(OctSun1)=1,IF(AND(YEAR(OctSun1+11)=CalendarYear,MONTH(OctSun1+11)=10),OctSun1+11,""),IF(AND(YEAR(OctSun1+18)=CalendarYear,MONTH(OctSun1+18)=10),OctSun1+18,""))</f>
        <v>46309</v>
      </c>
      <c r="W531" s="16">
        <f>IF(DAY(OctSun1)=1,IF(AND(YEAR(OctSun1+12)=CalendarYear,MONTH(OctSun1+12)=10),OctSun1+12,""),IF(AND(YEAR(OctSun1+19)=CalendarYear,MONTH(OctSun1+19)=10),OctSun1+19,""))</f>
        <v>46310</v>
      </c>
      <c r="X531" s="16">
        <f>IF(DAY(OctSun1)=1,IF(AND(YEAR(OctSun1+13)=CalendarYear,MONTH(OctSun1+13)=10),OctSun1+13,""),IF(AND(YEAR(OctSun1+20)=CalendarYear,MONTH(OctSun1+20)=10),OctSun1+20,""))</f>
        <v>46311</v>
      </c>
      <c r="Y531" s="16">
        <f>IF(DAY(OctSun1)=1,IF(AND(YEAR(OctSun1+14)=CalendarYear,MONTH(OctSun1+14)=10),OctSun1+14,""),IF(AND(YEAR(OctSun1+21)=CalendarYear,MONTH(OctSun1+21)=10),OctSun1+21,""))</f>
        <v>46312</v>
      </c>
      <c r="Z531" s="16">
        <f>IF(DAY(OctSun1)=1,IF(AND(YEAR(OctSun1+15)=CalendarYear,MONTH(OctSun1+15)=10),OctSun1+15,""),IF(AND(YEAR(OctSun1+22)=CalendarYear,MONTH(OctSun1+22)=10),OctSun1+22,""))</f>
        <v>46313</v>
      </c>
      <c r="AA531" s="16">
        <f>IF(DAY(OctSun1)=1,IF(AND(YEAR(OctSun1+16)=CalendarYear,MONTH(OctSun1+16)=10),OctSun1+16,""),IF(AND(YEAR(OctSun1+23)=CalendarYear,MONTH(OctSun1+23)=10),OctSun1+23,""))</f>
        <v>46314</v>
      </c>
      <c r="AB531" s="16">
        <f>IF(DAY(OctSun1)=1,IF(AND(YEAR(OctSun1+17)=CalendarYear,MONTH(OctSun1+17)=10),OctSun1+17,""),IF(AND(YEAR(OctSun1+24)=CalendarYear,MONTH(OctSun1+24)=10),OctSun1+24,""))</f>
        <v>46315</v>
      </c>
      <c r="AC531" s="16">
        <f>IF(DAY(OctSun1)=1,IF(AND(YEAR(OctSun1+18)=CalendarYear,MONTH(OctSun1+18)=10),OctSun1+18,""),IF(AND(YEAR(OctSun1+25)=CalendarYear,MONTH(OctSun1+25)=10),OctSun1+25,""))</f>
        <v>46316</v>
      </c>
      <c r="AD531" s="16">
        <f>IF(DAY(OctSun1)=1,IF(AND(YEAR(OctSun1+19)=CalendarYear,MONTH(OctSun1+19)=10),OctSun1+19,""),IF(AND(YEAR(OctSun1+26)=CalendarYear,MONTH(OctSun1+26)=10),OctSun1+26,""))</f>
        <v>46317</v>
      </c>
      <c r="AE531" s="16">
        <f>IF(DAY(OctSun1)=1,IF(AND(YEAR(OctSun1+20)=CalendarYear,MONTH(OctSun1+20)=10),OctSun1+20,""),IF(AND(YEAR(OctSun1+27)=CalendarYear,MONTH(OctSun1+27)=10),OctSun1+27,""))</f>
        <v>46318</v>
      </c>
      <c r="AF531" s="16">
        <f>IF(DAY(OctSun1)=1,IF(AND(YEAR(OctSun1+21)=CalendarYear,MONTH(OctSun1+21)=10),OctSun1+21,""),IF(AND(YEAR(OctSun1+28)=CalendarYear,MONTH(OctSun1+28)=10),OctSun1+28,""))</f>
        <v>46319</v>
      </c>
      <c r="AG531" s="16">
        <f>IF(DAY(OctSun1)=1,IF(AND(YEAR(OctSun1+22)=CalendarYear,MONTH(OctSun1+22)=10),OctSun1+22,""),IF(AND(YEAR(OctSun1+29)=CalendarYear,MONTH(OctSun1+29)=10),OctSun1+29,""))</f>
        <v>46320</v>
      </c>
      <c r="AH531" s="16">
        <f>IF(DAY(OctSun1)=1,IF(AND(YEAR(OctSun1+23)=CalendarYear,MONTH(OctSun1+23)=10),OctSun1+23,""),IF(AND(YEAR(OctSun1+30)=CalendarYear,MONTH(OctSun1+30)=10),OctSun1+30,""))</f>
        <v>46321</v>
      </c>
      <c r="AI531" s="16">
        <f>IF(DAY(OctSun1)=1,IF(AND(YEAR(OctSun1+24)=CalendarYear,MONTH(OctSun1+24)=10),OctSun1+24,""),IF(AND(YEAR(OctSun1+31)=CalendarYear,MONTH(OctSun1+31)=10),OctSun1+31,""))</f>
        <v>46322</v>
      </c>
      <c r="AJ531" s="16">
        <f>IF(DAY(OctSun1)=1,IF(AND(YEAR(OctSun1+25)=CalendarYear,MONTH(OctSun1+25)=10),OctSun1+25,""),IF(AND(YEAR(OctSun1+32)=CalendarYear,MONTH(OctSun1+32)=10),OctSun1+32,""))</f>
        <v>46323</v>
      </c>
      <c r="AK531" s="16">
        <f>IF(DAY(OctSun1)=1,IF(AND(YEAR(OctSun1+26)=CalendarYear,MONTH(OctSun1+26)=10),OctSun1+26,""),IF(AND(YEAR(OctSun1+33)=CalendarYear,MONTH(OctSun1+33)=10),OctSun1+33,""))</f>
        <v>46324</v>
      </c>
      <c r="AL531" s="16">
        <f>IF(DAY(OctSun1)=1,IF(AND(YEAR(OctSun1+27)=CalendarYear,MONTH(OctSun1+27)=10),OctSun1+27,""),IF(AND(YEAR(OctSun1+34)=CalendarYear,MONTH(OctSun1+34)=10),OctSun1+34,""))</f>
        <v>46325</v>
      </c>
      <c r="AM531" s="16">
        <f>IF(DAY(OctSun1)=1,IF(AND(YEAR(OctSun1+28)=CalendarYear,MONTH(OctSun1+28)=10),OctSun1+28,""),IF(AND(YEAR(OctSun1+35)=CalendarYear,MONTH(OctSun1+35)=10),OctSun1+35,""))</f>
        <v>46326</v>
      </c>
      <c r="AN531" s="16" t="str">
        <f>IF(DAY(OctSun1)=1,IF(AND(YEAR(OctSun1+29)=CalendarYear,MONTH(OctSun1+29)=10),OctSun1+29,""),IF(AND(YEAR(OctSun1+36)=CalendarYear,MONTH(OctSun1+36)=10),OctSun1+36,""))</f>
        <v/>
      </c>
      <c r="AO531" s="17" t="str">
        <f>IF(DAY(OctSun1)=1,IF(AND(YEAR(OctSun1+30)=CalendarYear,MONTH(OctSun1+30)=10),OctSun1+30,""),IF(AND(YEAR(OctSun1+37)=CalendarYear,MONTH(OctSun1+37)=10),OctSun1+37,""))</f>
        <v/>
      </c>
      <c r="AP531" s="29"/>
      <c r="AQ531" s="29"/>
      <c r="AR531" s="29"/>
    </row>
    <row r="532" spans="4:44" s="10" customFormat="1" ht="19" customHeight="1" thickBot="1" x14ac:dyDescent="0.45">
      <c r="D532" s="43"/>
      <c r="E532" s="18" t="s">
        <v>2</v>
      </c>
      <c r="F532" s="18" t="s">
        <v>3</v>
      </c>
      <c r="G532" s="18" t="s">
        <v>4</v>
      </c>
      <c r="H532" s="18" t="s">
        <v>5</v>
      </c>
      <c r="I532" s="18" t="s">
        <v>6</v>
      </c>
      <c r="J532" s="18" t="s">
        <v>7</v>
      </c>
      <c r="K532" s="18" t="s">
        <v>8</v>
      </c>
      <c r="L532" s="18" t="s">
        <v>2</v>
      </c>
      <c r="M532" s="18" t="s">
        <v>3</v>
      </c>
      <c r="N532" s="18" t="s">
        <v>4</v>
      </c>
      <c r="O532" s="18" t="s">
        <v>5</v>
      </c>
      <c r="P532" s="18" t="s">
        <v>6</v>
      </c>
      <c r="Q532" s="18" t="s">
        <v>7</v>
      </c>
      <c r="R532" s="18" t="s">
        <v>8</v>
      </c>
      <c r="S532" s="18" t="s">
        <v>2</v>
      </c>
      <c r="T532" s="18" t="s">
        <v>3</v>
      </c>
      <c r="U532" s="18" t="s">
        <v>4</v>
      </c>
      <c r="V532" s="18" t="s">
        <v>5</v>
      </c>
      <c r="W532" s="18" t="s">
        <v>6</v>
      </c>
      <c r="X532" s="18" t="s">
        <v>7</v>
      </c>
      <c r="Y532" s="18" t="s">
        <v>8</v>
      </c>
      <c r="Z532" s="18" t="s">
        <v>2</v>
      </c>
      <c r="AA532" s="18" t="s">
        <v>3</v>
      </c>
      <c r="AB532" s="18" t="s">
        <v>4</v>
      </c>
      <c r="AC532" s="18" t="s">
        <v>5</v>
      </c>
      <c r="AD532" s="18" t="s">
        <v>6</v>
      </c>
      <c r="AE532" s="18" t="s">
        <v>7</v>
      </c>
      <c r="AF532" s="18" t="s">
        <v>8</v>
      </c>
      <c r="AG532" s="18" t="s">
        <v>2</v>
      </c>
      <c r="AH532" s="18" t="s">
        <v>3</v>
      </c>
      <c r="AI532" s="18" t="s">
        <v>4</v>
      </c>
      <c r="AJ532" s="18" t="s">
        <v>5</v>
      </c>
      <c r="AK532" s="18" t="s">
        <v>6</v>
      </c>
      <c r="AL532" s="18" t="s">
        <v>7</v>
      </c>
      <c r="AM532" s="18" t="s">
        <v>8</v>
      </c>
      <c r="AN532" s="18" t="s">
        <v>2</v>
      </c>
      <c r="AO532" s="19" t="s">
        <v>3</v>
      </c>
      <c r="AP532" s="23"/>
      <c r="AQ532" s="23"/>
      <c r="AR532" s="23"/>
    </row>
    <row r="533" spans="4:44" ht="19" customHeight="1" thickBot="1" x14ac:dyDescent="0.45">
      <c r="D533" s="21" t="s">
        <v>10</v>
      </c>
      <c r="E533" s="20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31"/>
      <c r="AP533" s="39">
        <v>2</v>
      </c>
      <c r="AQ533" s="39"/>
      <c r="AR533" s="39"/>
    </row>
    <row r="534" spans="4:44" ht="19" customHeight="1" thickBot="1" x14ac:dyDescent="0.45">
      <c r="D534" s="22" t="s">
        <v>11</v>
      </c>
      <c r="E534" s="20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31"/>
      <c r="AP534" s="39">
        <v>32</v>
      </c>
      <c r="AQ534" s="39"/>
      <c r="AR534" s="39"/>
    </row>
    <row r="535" spans="4:44" ht="19" customHeight="1" thickBot="1" x14ac:dyDescent="0.45">
      <c r="D535" s="22" t="s">
        <v>12</v>
      </c>
      <c r="E535" s="20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31"/>
      <c r="AP535" s="39">
        <v>61</v>
      </c>
      <c r="AQ535" s="39"/>
      <c r="AR535" s="39"/>
    </row>
    <row r="536" spans="4:44" ht="19" customHeight="1" thickBot="1" x14ac:dyDescent="0.45">
      <c r="D536" s="22" t="s">
        <v>13</v>
      </c>
      <c r="E536" s="20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31"/>
      <c r="AP536" s="39">
        <v>7</v>
      </c>
      <c r="AQ536" s="39"/>
      <c r="AR536" s="39"/>
    </row>
    <row r="537" spans="4:44" ht="19" customHeight="1" thickBot="1" x14ac:dyDescent="0.45">
      <c r="D537" s="22" t="s">
        <v>14</v>
      </c>
      <c r="E537" s="20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31"/>
      <c r="AP537" s="39">
        <v>7</v>
      </c>
      <c r="AQ537" s="39"/>
      <c r="AR537" s="39"/>
    </row>
    <row r="538" spans="4:44" ht="19" customHeight="1" thickBot="1" x14ac:dyDescent="0.45">
      <c r="D538" s="22" t="s">
        <v>15</v>
      </c>
      <c r="E538" s="20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31"/>
      <c r="AP538" s="39">
        <v>10</v>
      </c>
      <c r="AQ538" s="39"/>
      <c r="AR538" s="39"/>
    </row>
    <row r="539" spans="4:44" ht="19" customHeight="1" thickBot="1" x14ac:dyDescent="0.45">
      <c r="D539" s="22" t="s">
        <v>16</v>
      </c>
      <c r="E539" s="20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31"/>
      <c r="AP539" s="39">
        <v>2</v>
      </c>
      <c r="AQ539" s="39"/>
      <c r="AR539" s="39"/>
    </row>
    <row r="540" spans="4:44" ht="19" customHeight="1" thickBot="1" x14ac:dyDescent="0.45">
      <c r="D540" s="22" t="s">
        <v>17</v>
      </c>
      <c r="E540" s="20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31"/>
      <c r="AP540" s="39">
        <v>4</v>
      </c>
      <c r="AQ540" s="39"/>
      <c r="AR540" s="39"/>
    </row>
    <row r="541" spans="4:44" ht="19" customHeight="1" thickBot="1" x14ac:dyDescent="0.45">
      <c r="D541" s="22" t="s">
        <v>18</v>
      </c>
      <c r="E541" s="20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31"/>
      <c r="AP541" s="39">
        <v>2</v>
      </c>
      <c r="AQ541" s="39"/>
      <c r="AR541" s="39"/>
    </row>
    <row r="542" spans="4:44" ht="19" customHeight="1" thickBot="1" x14ac:dyDescent="0.45">
      <c r="D542" s="22" t="s">
        <v>19</v>
      </c>
      <c r="E542" s="20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31"/>
      <c r="AP542" s="39">
        <v>6</v>
      </c>
      <c r="AQ542" s="39"/>
      <c r="AR542" s="39"/>
    </row>
    <row r="543" spans="4:44" ht="19" customHeight="1" thickBot="1" x14ac:dyDescent="0.45">
      <c r="D543" s="22" t="s">
        <v>20</v>
      </c>
      <c r="E543" s="20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31"/>
      <c r="AP543" s="39">
        <v>13</v>
      </c>
      <c r="AQ543" s="39"/>
      <c r="AR543" s="39"/>
    </row>
    <row r="544" spans="4:44" ht="19" customHeight="1" thickBot="1" x14ac:dyDescent="0.45">
      <c r="D544" s="22" t="s">
        <v>21</v>
      </c>
      <c r="E544" s="20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31"/>
      <c r="AP544" s="39">
        <v>1</v>
      </c>
      <c r="AQ544" s="39"/>
      <c r="AR544" s="39"/>
    </row>
    <row r="545" spans="4:44" ht="19" customHeight="1" thickBot="1" x14ac:dyDescent="0.45">
      <c r="D545" s="22" t="s">
        <v>22</v>
      </c>
      <c r="E545" s="20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31"/>
      <c r="AP545" s="39">
        <v>6</v>
      </c>
      <c r="AQ545" s="39"/>
      <c r="AR545" s="39"/>
    </row>
    <row r="546" spans="4:44" ht="19" customHeight="1" thickBot="1" x14ac:dyDescent="0.45"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  <c r="AQ546" s="26"/>
      <c r="AR546" s="26"/>
    </row>
    <row r="547" spans="4:44" ht="19" customHeight="1" thickBot="1" x14ac:dyDescent="0.45">
      <c r="D547" s="21" t="s">
        <v>23</v>
      </c>
      <c r="E547" s="20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31"/>
      <c r="AP547" s="39" t="s">
        <v>24</v>
      </c>
      <c r="AQ547" s="39"/>
      <c r="AR547" s="39"/>
    </row>
    <row r="548" spans="4:44" ht="19" customHeight="1" thickBot="1" x14ac:dyDescent="0.45">
      <c r="D548" s="22" t="s">
        <v>25</v>
      </c>
      <c r="E548" s="20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31"/>
      <c r="AP548" s="39" t="s">
        <v>26</v>
      </c>
      <c r="AQ548" s="39"/>
      <c r="AR548" s="39"/>
    </row>
    <row r="549" spans="4:44" ht="19" customHeight="1" thickBot="1" x14ac:dyDescent="0.45">
      <c r="D549" s="22" t="s">
        <v>27</v>
      </c>
      <c r="E549" s="20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31"/>
      <c r="AP549" s="39" t="s">
        <v>28</v>
      </c>
      <c r="AQ549" s="39"/>
      <c r="AR549" s="39"/>
    </row>
    <row r="550" spans="4:44" ht="19" customHeight="1" thickBot="1" x14ac:dyDescent="0.45">
      <c r="D550" s="22" t="s">
        <v>29</v>
      </c>
      <c r="E550" s="20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31"/>
      <c r="AP550" s="39">
        <v>34</v>
      </c>
      <c r="AQ550" s="39"/>
      <c r="AR550" s="39"/>
    </row>
    <row r="551" spans="4:44" ht="19" customHeight="1" thickBot="1" x14ac:dyDescent="0.45">
      <c r="D551" s="22" t="s">
        <v>30</v>
      </c>
      <c r="E551" s="20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31"/>
      <c r="AP551" s="39">
        <v>13</v>
      </c>
      <c r="AQ551" s="39"/>
      <c r="AR551" s="39"/>
    </row>
    <row r="552" spans="4:44" ht="19" customHeight="1" thickBot="1" x14ac:dyDescent="0.45">
      <c r="D552" s="22" t="s">
        <v>31</v>
      </c>
      <c r="E552" s="20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31"/>
      <c r="AP552" s="39">
        <v>16</v>
      </c>
      <c r="AQ552" s="39"/>
      <c r="AR552" s="39"/>
    </row>
    <row r="553" spans="4:44" ht="19" customHeight="1" thickBot="1" x14ac:dyDescent="0.45">
      <c r="D553" s="22" t="s">
        <v>32</v>
      </c>
      <c r="E553" s="20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31"/>
      <c r="AP553" s="39">
        <v>15</v>
      </c>
      <c r="AQ553" s="39"/>
      <c r="AR553" s="39"/>
    </row>
    <row r="554" spans="4:44" ht="19" customHeight="1" thickBot="1" x14ac:dyDescent="0.45"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26"/>
      <c r="AO554" s="32"/>
      <c r="AP554" s="26"/>
      <c r="AQ554" s="26"/>
      <c r="AR554" s="26"/>
    </row>
    <row r="555" spans="4:44" ht="19" customHeight="1" thickBot="1" x14ac:dyDescent="0.45">
      <c r="D555" s="21" t="s">
        <v>33</v>
      </c>
      <c r="E555" s="20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31"/>
      <c r="AP555" s="39">
        <v>3</v>
      </c>
      <c r="AQ555" s="39"/>
      <c r="AR555" s="39"/>
    </row>
    <row r="556" spans="4:44" ht="19" customHeight="1" thickBot="1" x14ac:dyDescent="0.45">
      <c r="D556" s="22" t="s">
        <v>34</v>
      </c>
      <c r="E556" s="20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31"/>
      <c r="AP556" s="39">
        <v>7</v>
      </c>
      <c r="AQ556" s="39"/>
      <c r="AR556" s="39"/>
    </row>
    <row r="557" spans="4:44" ht="19" customHeight="1" thickBot="1" x14ac:dyDescent="0.45">
      <c r="D557" s="22" t="s">
        <v>35</v>
      </c>
      <c r="E557" s="20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31"/>
      <c r="AP557" s="39">
        <v>2</v>
      </c>
      <c r="AQ557" s="39"/>
      <c r="AR557" s="39"/>
    </row>
    <row r="558" spans="4:44" ht="19" customHeight="1" thickBot="1" x14ac:dyDescent="0.45">
      <c r="D558" s="22" t="s">
        <v>36</v>
      </c>
      <c r="E558" s="20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31"/>
      <c r="AP558" s="39">
        <v>4</v>
      </c>
      <c r="AQ558" s="39"/>
      <c r="AR558" s="39"/>
    </row>
    <row r="559" spans="4:44" ht="19" customHeight="1" thickBot="1" x14ac:dyDescent="0.45">
      <c r="D559" s="22" t="s">
        <v>37</v>
      </c>
      <c r="E559" s="20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31"/>
      <c r="AP559" s="39">
        <v>2</v>
      </c>
      <c r="AQ559" s="39"/>
      <c r="AR559" s="39"/>
    </row>
    <row r="560" spans="4:44" ht="19" customHeight="1" thickBot="1" x14ac:dyDescent="0.45">
      <c r="D560" s="22" t="s">
        <v>38</v>
      </c>
      <c r="E560" s="20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31"/>
      <c r="AP560" s="39">
        <v>8</v>
      </c>
      <c r="AQ560" s="39"/>
      <c r="AR560" s="39"/>
    </row>
    <row r="561" spans="4:44" ht="19" customHeight="1" thickBot="1" x14ac:dyDescent="0.45"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33"/>
      <c r="AP561" s="34"/>
      <c r="AQ561" s="34"/>
      <c r="AR561" s="34"/>
    </row>
    <row r="562" spans="4:44" ht="19" customHeight="1" thickBot="1" x14ac:dyDescent="0.45">
      <c r="D562" s="21" t="s">
        <v>39</v>
      </c>
      <c r="E562" s="20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31"/>
      <c r="AP562" s="39">
        <v>3</v>
      </c>
      <c r="AQ562" s="39"/>
      <c r="AR562" s="39"/>
    </row>
    <row r="563" spans="4:44" ht="19" customHeight="1" thickBot="1" x14ac:dyDescent="0.45">
      <c r="D563" s="22" t="s">
        <v>40</v>
      </c>
      <c r="E563" s="20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31"/>
      <c r="AP563" s="39">
        <v>3</v>
      </c>
      <c r="AQ563" s="39"/>
      <c r="AR563" s="39"/>
    </row>
    <row r="564" spans="4:44" ht="19" customHeight="1" thickBot="1" x14ac:dyDescent="0.45">
      <c r="D564" s="22" t="s">
        <v>41</v>
      </c>
      <c r="E564" s="20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31"/>
      <c r="AP564" s="39">
        <v>2</v>
      </c>
      <c r="AQ564" s="39"/>
      <c r="AR564" s="39"/>
    </row>
    <row r="565" spans="4:44" ht="19" customHeight="1" thickBot="1" x14ac:dyDescent="0.45">
      <c r="D565" s="22" t="s">
        <v>42</v>
      </c>
      <c r="E565" s="20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31"/>
      <c r="AP565" s="39">
        <v>2</v>
      </c>
      <c r="AQ565" s="39"/>
      <c r="AR565" s="39"/>
    </row>
    <row r="566" spans="4:44" ht="19" customHeight="1" thickBot="1" x14ac:dyDescent="0.45"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32"/>
      <c r="AP566" s="26"/>
      <c r="AQ566" s="26"/>
      <c r="AR566" s="26"/>
    </row>
    <row r="567" spans="4:44" ht="19" customHeight="1" thickBot="1" x14ac:dyDescent="0.45">
      <c r="D567" s="21" t="s">
        <v>43</v>
      </c>
      <c r="E567" s="20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31"/>
      <c r="AP567" s="39">
        <v>2</v>
      </c>
      <c r="AQ567" s="39"/>
      <c r="AR567" s="39"/>
    </row>
    <row r="568" spans="4:44" ht="19" customHeight="1" thickBot="1" x14ac:dyDescent="0.45">
      <c r="D568" s="22" t="s">
        <v>44</v>
      </c>
      <c r="E568" s="20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31"/>
      <c r="AP568" s="39">
        <v>2</v>
      </c>
      <c r="AQ568" s="39"/>
      <c r="AR568" s="39"/>
    </row>
    <row r="569" spans="4:44" ht="19" customHeight="1" thickBot="1" x14ac:dyDescent="0.45">
      <c r="D569" s="22" t="s">
        <v>45</v>
      </c>
      <c r="E569" s="20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31"/>
      <c r="AP569" s="39">
        <v>1</v>
      </c>
      <c r="AQ569" s="39"/>
      <c r="AR569" s="39"/>
    </row>
    <row r="570" spans="4:44" ht="19" customHeight="1" thickBot="1" x14ac:dyDescent="0.45">
      <c r="D570" s="22" t="s">
        <v>46</v>
      </c>
      <c r="E570" s="20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31"/>
      <c r="AP570" s="39">
        <v>2</v>
      </c>
      <c r="AQ570" s="39"/>
      <c r="AR570" s="39"/>
    </row>
    <row r="571" spans="4:44" ht="19" customHeight="1" thickBot="1" x14ac:dyDescent="0.45">
      <c r="D571" s="22" t="s">
        <v>47</v>
      </c>
      <c r="E571" s="20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31"/>
      <c r="AP571" s="39">
        <v>2</v>
      </c>
      <c r="AQ571" s="39"/>
      <c r="AR571" s="39"/>
    </row>
    <row r="572" spans="4:44" ht="19" customHeight="1" thickBot="1" x14ac:dyDescent="0.45">
      <c r="D572" s="22" t="s">
        <v>48</v>
      </c>
      <c r="E572" s="20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31"/>
      <c r="AP572" s="39">
        <v>3</v>
      </c>
      <c r="AQ572" s="39"/>
      <c r="AR572" s="39"/>
    </row>
    <row r="573" spans="4:44" ht="19" customHeight="1" thickBot="1" x14ac:dyDescent="0.45">
      <c r="D573" s="22" t="s">
        <v>49</v>
      </c>
      <c r="E573" s="20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31"/>
      <c r="AP573" s="39">
        <v>2</v>
      </c>
      <c r="AQ573" s="39"/>
      <c r="AR573" s="39"/>
    </row>
    <row r="574" spans="4:44" ht="19" customHeight="1" thickBot="1" x14ac:dyDescent="0.45">
      <c r="D574" s="22" t="s">
        <v>50</v>
      </c>
      <c r="E574" s="20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31"/>
      <c r="AP574" s="39">
        <v>1</v>
      </c>
      <c r="AQ574" s="39"/>
      <c r="AR574" s="39"/>
    </row>
    <row r="575" spans="4:44" ht="19" customHeight="1" thickBot="1" x14ac:dyDescent="0.45">
      <c r="D575" s="22" t="s">
        <v>51</v>
      </c>
      <c r="E575" s="20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31"/>
      <c r="AP575" s="39">
        <v>1</v>
      </c>
      <c r="AQ575" s="39"/>
      <c r="AR575" s="39"/>
    </row>
    <row r="576" spans="4:44" ht="19" customHeight="1" thickBot="1" x14ac:dyDescent="0.45">
      <c r="D576" s="22" t="s">
        <v>52</v>
      </c>
      <c r="E576" s="20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31"/>
      <c r="AP576" s="39">
        <v>3</v>
      </c>
      <c r="AQ576" s="39"/>
      <c r="AR576" s="39"/>
    </row>
    <row r="577" spans="4:44" ht="19" customHeight="1" thickBot="1" x14ac:dyDescent="0.45">
      <c r="D577" s="22" t="s">
        <v>53</v>
      </c>
      <c r="E577" s="20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31"/>
      <c r="AP577" s="39">
        <v>2</v>
      </c>
      <c r="AQ577" s="39"/>
      <c r="AR577" s="39"/>
    </row>
    <row r="578" spans="4:44" ht="19" customHeight="1" thickBot="1" x14ac:dyDescent="0.45">
      <c r="D578" s="22" t="s">
        <v>54</v>
      </c>
      <c r="E578" s="20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31"/>
      <c r="AP578" s="39">
        <v>1</v>
      </c>
      <c r="AQ578" s="39"/>
      <c r="AR578" s="39"/>
    </row>
    <row r="579" spans="4:44" ht="19" customHeight="1" thickBot="1" x14ac:dyDescent="0.45">
      <c r="D579" s="22" t="s">
        <v>55</v>
      </c>
      <c r="E579" s="20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31"/>
      <c r="AP579" s="39">
        <v>1</v>
      </c>
      <c r="AQ579" s="39"/>
      <c r="AR579" s="39"/>
    </row>
    <row r="580" spans="4:44" ht="19" customHeight="1" thickBot="1" x14ac:dyDescent="0.45">
      <c r="D580" s="22" t="s">
        <v>56</v>
      </c>
      <c r="E580" s="20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31"/>
      <c r="AP580" s="39">
        <v>2</v>
      </c>
      <c r="AQ580" s="39"/>
      <c r="AR580" s="39"/>
    </row>
    <row r="581" spans="4:44" ht="19" customHeight="1" thickBot="1" x14ac:dyDescent="0.45">
      <c r="D581" s="22" t="s">
        <v>57</v>
      </c>
      <c r="E581" s="20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31"/>
      <c r="AP581" s="39">
        <v>2</v>
      </c>
      <c r="AQ581" s="39"/>
      <c r="AR581" s="39"/>
    </row>
    <row r="582" spans="4:44" ht="19" customHeight="1" x14ac:dyDescent="0.4">
      <c r="D582" s="8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30"/>
      <c r="AQ582" s="30"/>
      <c r="AR582" s="30"/>
    </row>
    <row r="583" spans="4:44" ht="19" customHeight="1" x14ac:dyDescent="0.4">
      <c r="D583" s="8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30"/>
      <c r="AQ583" s="30"/>
      <c r="AR583" s="30"/>
    </row>
    <row r="584" spans="4:44" ht="19" customHeight="1" x14ac:dyDescent="0.4">
      <c r="D584" s="8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30"/>
      <c r="AQ584" s="30"/>
      <c r="AR584" s="30"/>
    </row>
    <row r="585" spans="4:44" ht="19" customHeight="1" x14ac:dyDescent="0.4">
      <c r="D585" s="8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30"/>
      <c r="AQ585" s="30"/>
      <c r="AR585" s="30"/>
    </row>
    <row r="586" spans="4:44" ht="19" customHeight="1" x14ac:dyDescent="0.4">
      <c r="D586" s="8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30"/>
      <c r="AQ586" s="30"/>
      <c r="AR586" s="30"/>
    </row>
    <row r="587" spans="4:44" ht="19" customHeight="1" x14ac:dyDescent="0.4">
      <c r="D587" s="8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30"/>
      <c r="AQ587" s="30"/>
      <c r="AR587" s="30"/>
    </row>
    <row r="588" spans="4:44" ht="19" customHeight="1" x14ac:dyDescent="0.4">
      <c r="D588" s="9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30"/>
      <c r="AQ588" s="30"/>
      <c r="AR588" s="30"/>
    </row>
    <row r="589" spans="4:44" ht="19" customHeight="1" x14ac:dyDescent="0.4">
      <c r="D589" s="9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30"/>
      <c r="AQ589" s="30"/>
      <c r="AR589" s="30"/>
    </row>
    <row r="590" spans="4:44" ht="12" customHeight="1" x14ac:dyDescent="0.4"/>
    <row r="591" spans="4:44" s="10" customFormat="1" ht="19" customHeight="1" x14ac:dyDescent="0.4">
      <c r="D591" s="41">
        <f>DATE(CalendarYear,11,1)</f>
        <v>46327</v>
      </c>
      <c r="E591" s="16">
        <f>IF(DAY(NovSun1)=1,"",IF(AND(YEAR(NovSun1+1)=CalendarYear,MONTH(NovSun1+1)=11),NovSun1+1,""))</f>
        <v>46327</v>
      </c>
      <c r="F591" s="16">
        <f>IF(DAY(NovSun1)=1,"",IF(AND(YEAR(NovSun1+2)=CalendarYear,MONTH(NovSun1+2)=11),NovSun1+2,""))</f>
        <v>46328</v>
      </c>
      <c r="G591" s="16">
        <f>IF(DAY(NovSun1)=1,"",IF(AND(YEAR(NovSun1+3)=CalendarYear,MONTH(NovSun1+3)=11),NovSun1+3,""))</f>
        <v>46329</v>
      </c>
      <c r="H591" s="16">
        <f>IF(DAY(NovSun1)=1,"",IF(AND(YEAR(NovSun1+4)=CalendarYear,MONTH(NovSun1+4)=11),NovSun1+4,""))</f>
        <v>46330</v>
      </c>
      <c r="I591" s="16">
        <f>IF(DAY(NovSun1)=1,"",IF(AND(YEAR(NovSun1+5)=CalendarYear,MONTH(NovSun1+5)=11),NovSun1+5,""))</f>
        <v>46331</v>
      </c>
      <c r="J591" s="16">
        <f>IF(DAY(NovSun1)=1,"",IF(AND(YEAR(NovSun1+6)=CalendarYear,MONTH(NovSun1+6)=11),NovSun1+6,""))</f>
        <v>46332</v>
      </c>
      <c r="K591" s="16">
        <f>IF(DAY(NovSun1)=1,IF(AND(YEAR(NovSun1)=CalendarYear,MONTH(NovSun1)=11),NovSun1,""),IF(AND(YEAR(NovSun1+7)=CalendarYear,MONTH(NovSun1+7)=11),NovSun1+7,""))</f>
        <v>46333</v>
      </c>
      <c r="L591" s="16">
        <f>IF(DAY(NovSun1)=1,IF(AND(YEAR(NovSun1+1)=CalendarYear,MONTH(NovSun1+1)=11),NovSun1+1,""),IF(AND(YEAR(NovSun1+8)=CalendarYear,MONTH(NovSun1+8)=11),NovSun1+8,""))</f>
        <v>46334</v>
      </c>
      <c r="M591" s="16">
        <f>IF(DAY(NovSun1)=1,IF(AND(YEAR(NovSun1+2)=CalendarYear,MONTH(NovSun1+2)=11),NovSun1+2,""),IF(AND(YEAR(NovSun1+9)=CalendarYear,MONTH(NovSun1+9)=11),NovSun1+9,""))</f>
        <v>46335</v>
      </c>
      <c r="N591" s="16">
        <f>IF(DAY(NovSun1)=1,IF(AND(YEAR(NovSun1+3)=CalendarYear,MONTH(NovSun1+3)=11),NovSun1+3,""),IF(AND(YEAR(NovSun1+10)=CalendarYear,MONTH(NovSun1+10)=11),NovSun1+10,""))</f>
        <v>46336</v>
      </c>
      <c r="O591" s="16">
        <f>IF(DAY(NovSun1)=1,IF(AND(YEAR(NovSun1+4)=CalendarYear,MONTH(NovSun1+4)=11),NovSun1+4,""),IF(AND(YEAR(NovSun1+11)=CalendarYear,MONTH(NovSun1+11)=11),NovSun1+11,""))</f>
        <v>46337</v>
      </c>
      <c r="P591" s="16">
        <f>IF(DAY(NovSun1)=1,IF(AND(YEAR(NovSun1+5)=CalendarYear,MONTH(NovSun1+5)=11),NovSun1+5,""),IF(AND(YEAR(NovSun1+12)=CalendarYear,MONTH(NovSun1+12)=11),NovSun1+12,""))</f>
        <v>46338</v>
      </c>
      <c r="Q591" s="16">
        <f>IF(DAY(NovSun1)=1,IF(AND(YEAR(NovSun1+6)=CalendarYear,MONTH(NovSun1+6)=11),NovSun1+6,""),IF(AND(YEAR(NovSun1+13)=CalendarYear,MONTH(NovSun1+13)=11),NovSun1+13,""))</f>
        <v>46339</v>
      </c>
      <c r="R591" s="16">
        <f>IF(DAY(NovSun1)=1,IF(AND(YEAR(NovSun1+7)=CalendarYear,MONTH(NovSun1+7)=11),NovSun1+7,""),IF(AND(YEAR(NovSun1+14)=CalendarYear,MONTH(NovSun1+14)=11),NovSun1+14,""))</f>
        <v>46340</v>
      </c>
      <c r="S591" s="16">
        <f>IF(DAY(NovSun1)=1,IF(AND(YEAR(NovSun1+8)=CalendarYear,MONTH(NovSun1+8)=11),NovSun1+8,""),IF(AND(YEAR(NovSun1+15)=CalendarYear,MONTH(NovSun1+15)=11),NovSun1+15,""))</f>
        <v>46341</v>
      </c>
      <c r="T591" s="16">
        <f>IF(DAY(NovSun1)=1,IF(AND(YEAR(NovSun1+9)=CalendarYear,MONTH(NovSun1+9)=11),NovSun1+9,""),IF(AND(YEAR(NovSun1+16)=CalendarYear,MONTH(NovSun1+16)=11),NovSun1+16,""))</f>
        <v>46342</v>
      </c>
      <c r="U591" s="16">
        <f>IF(DAY(NovSun1)=1,IF(AND(YEAR(NovSun1+10)=CalendarYear,MONTH(NovSun1+10)=11),NovSun1+10,""),IF(AND(YEAR(NovSun1+17)=CalendarYear,MONTH(NovSun1+17)=11),NovSun1+17,""))</f>
        <v>46343</v>
      </c>
      <c r="V591" s="16">
        <f>IF(DAY(NovSun1)=1,IF(AND(YEAR(NovSun1+11)=CalendarYear,MONTH(NovSun1+11)=11),NovSun1+11,""),IF(AND(YEAR(NovSun1+18)=CalendarYear,MONTH(NovSun1+18)=11),NovSun1+18,""))</f>
        <v>46344</v>
      </c>
      <c r="W591" s="16">
        <f>IF(DAY(NovSun1)=1,IF(AND(YEAR(NovSun1+12)=CalendarYear,MONTH(NovSun1+12)=11),NovSun1+12,""),IF(AND(YEAR(NovSun1+19)=CalendarYear,MONTH(NovSun1+19)=11),NovSun1+19,""))</f>
        <v>46345</v>
      </c>
      <c r="X591" s="16">
        <f>IF(DAY(NovSun1)=1,IF(AND(YEAR(NovSun1+13)=CalendarYear,MONTH(NovSun1+13)=11),NovSun1+13,""),IF(AND(YEAR(NovSun1+20)=CalendarYear,MONTH(NovSun1+20)=11),NovSun1+20,""))</f>
        <v>46346</v>
      </c>
      <c r="Y591" s="16">
        <f>IF(DAY(NovSun1)=1,IF(AND(YEAR(NovSun1+14)=CalendarYear,MONTH(NovSun1+14)=11),NovSun1+14,""),IF(AND(YEAR(NovSun1+21)=CalendarYear,MONTH(NovSun1+21)=11),NovSun1+21,""))</f>
        <v>46347</v>
      </c>
      <c r="Z591" s="16">
        <f>IF(DAY(NovSun1)=1,IF(AND(YEAR(NovSun1+15)=CalendarYear,MONTH(NovSun1+15)=11),NovSun1+15,""),IF(AND(YEAR(NovSun1+22)=CalendarYear,MONTH(NovSun1+22)=11),NovSun1+22,""))</f>
        <v>46348</v>
      </c>
      <c r="AA591" s="16">
        <f>IF(DAY(NovSun1)=1,IF(AND(YEAR(NovSun1+16)=CalendarYear,MONTH(NovSun1+16)=11),NovSun1+16,""),IF(AND(YEAR(NovSun1+23)=CalendarYear,MONTH(NovSun1+23)=11),NovSun1+23,""))</f>
        <v>46349</v>
      </c>
      <c r="AB591" s="16">
        <f>IF(DAY(NovSun1)=1,IF(AND(YEAR(NovSun1+17)=CalendarYear,MONTH(NovSun1+17)=11),NovSun1+17,""),IF(AND(YEAR(NovSun1+24)=CalendarYear,MONTH(NovSun1+24)=11),NovSun1+24,""))</f>
        <v>46350</v>
      </c>
      <c r="AC591" s="16">
        <f>IF(DAY(NovSun1)=1,IF(AND(YEAR(NovSun1+18)=CalendarYear,MONTH(NovSun1+18)=11),NovSun1+18,""),IF(AND(YEAR(NovSun1+25)=CalendarYear,MONTH(NovSun1+25)=11),NovSun1+25,""))</f>
        <v>46351</v>
      </c>
      <c r="AD591" s="16">
        <f>IF(DAY(NovSun1)=1,IF(AND(YEAR(NovSun1+19)=CalendarYear,MONTH(NovSun1+19)=11),NovSun1+19,""),IF(AND(YEAR(NovSun1+26)=CalendarYear,MONTH(NovSun1+26)=11),NovSun1+26,""))</f>
        <v>46352</v>
      </c>
      <c r="AE591" s="16">
        <f>IF(DAY(NovSun1)=1,IF(AND(YEAR(NovSun1+20)=CalendarYear,MONTH(NovSun1+20)=11),NovSun1+20,""),IF(AND(YEAR(NovSun1+27)=CalendarYear,MONTH(NovSun1+27)=11),NovSun1+27,""))</f>
        <v>46353</v>
      </c>
      <c r="AF591" s="16">
        <f>IF(DAY(NovSun1)=1,IF(AND(YEAR(NovSun1+21)=CalendarYear,MONTH(NovSun1+21)=11),NovSun1+21,""),IF(AND(YEAR(NovSun1+28)=CalendarYear,MONTH(NovSun1+28)=11),NovSun1+28,""))</f>
        <v>46354</v>
      </c>
      <c r="AG591" s="16">
        <f>IF(DAY(NovSun1)=1,IF(AND(YEAR(NovSun1+22)=CalendarYear,MONTH(NovSun1+22)=11),NovSun1+22,""),IF(AND(YEAR(NovSun1+29)=CalendarYear,MONTH(NovSun1+29)=11),NovSun1+29,""))</f>
        <v>46355</v>
      </c>
      <c r="AH591" s="16">
        <f>IF(DAY(NovSun1)=1,IF(AND(YEAR(NovSun1+23)=CalendarYear,MONTH(NovSun1+23)=11),NovSun1+23,""),IF(AND(YEAR(NovSun1+30)=CalendarYear,MONTH(NovSun1+30)=11),NovSun1+30,""))</f>
        <v>46356</v>
      </c>
      <c r="AI591" s="16" t="str">
        <f>IF(DAY(NovSun1)=1,IF(AND(YEAR(NovSun1+24)=CalendarYear,MONTH(NovSun1+24)=11),NovSun1+24,""),IF(AND(YEAR(NovSun1+31)=CalendarYear,MONTH(NovSun1+31)=11),NovSun1+31,""))</f>
        <v/>
      </c>
      <c r="AJ591" s="16" t="str">
        <f>IF(DAY(NovSun1)=1,IF(AND(YEAR(NovSun1+25)=CalendarYear,MONTH(NovSun1+25)=11),NovSun1+25,""),IF(AND(YEAR(NovSun1+32)=CalendarYear,MONTH(NovSun1+32)=11),NovSun1+32,""))</f>
        <v/>
      </c>
      <c r="AK591" s="16" t="str">
        <f>IF(DAY(NovSun1)=1,IF(AND(YEAR(NovSun1+26)=CalendarYear,MONTH(NovSun1+26)=11),NovSun1+26,""),IF(AND(YEAR(NovSun1+33)=CalendarYear,MONTH(NovSun1+33)=11),NovSun1+33,""))</f>
        <v/>
      </c>
      <c r="AL591" s="16" t="str">
        <f>IF(DAY(NovSun1)=1,IF(AND(YEAR(NovSun1+27)=CalendarYear,MONTH(NovSun1+27)=11),NovSun1+27,""),IF(AND(YEAR(NovSun1+34)=CalendarYear,MONTH(NovSun1+34)=11),NovSun1+34,""))</f>
        <v/>
      </c>
      <c r="AM591" s="16" t="str">
        <f>IF(DAY(NovSun1)=1,IF(AND(YEAR(NovSun1+28)=CalendarYear,MONTH(NovSun1+28)=11),NovSun1+28,""),IF(AND(YEAR(NovSun1+35)=CalendarYear,MONTH(NovSun1+35)=11),NovSun1+35,""))</f>
        <v/>
      </c>
      <c r="AN591" s="16" t="str">
        <f>IF(DAY(NovSun1)=1,IF(AND(YEAR(NovSun1+29)=CalendarYear,MONTH(NovSun1+29)=11),NovSun1+29,""),IF(AND(YEAR(NovSun1+36)=CalendarYear,MONTH(NovSun1+36)=11),NovSun1+36,""))</f>
        <v/>
      </c>
      <c r="AO591" s="17" t="str">
        <f>IF(DAY(NovSun1)=1,IF(AND(YEAR(NovSun1+30)=CalendarYear,MONTH(NovSun1+30)=11),NovSun1+30,""),IF(AND(YEAR(NovSun1+37)=CalendarYear,MONTH(NovSun1+37)=11),NovSun1+37,""))</f>
        <v/>
      </c>
      <c r="AP591" s="29"/>
      <c r="AQ591" s="29"/>
      <c r="AR591" s="29"/>
    </row>
    <row r="592" spans="4:44" s="10" customFormat="1" ht="19" customHeight="1" thickBot="1" x14ac:dyDescent="0.45">
      <c r="D592" s="43"/>
      <c r="E592" s="18" t="s">
        <v>2</v>
      </c>
      <c r="F592" s="18" t="s">
        <v>3</v>
      </c>
      <c r="G592" s="18" t="s">
        <v>4</v>
      </c>
      <c r="H592" s="18" t="s">
        <v>5</v>
      </c>
      <c r="I592" s="18" t="s">
        <v>6</v>
      </c>
      <c r="J592" s="18" t="s">
        <v>7</v>
      </c>
      <c r="K592" s="18" t="s">
        <v>8</v>
      </c>
      <c r="L592" s="18" t="s">
        <v>2</v>
      </c>
      <c r="M592" s="18" t="s">
        <v>3</v>
      </c>
      <c r="N592" s="18" t="s">
        <v>4</v>
      </c>
      <c r="O592" s="18" t="s">
        <v>5</v>
      </c>
      <c r="P592" s="18" t="s">
        <v>6</v>
      </c>
      <c r="Q592" s="18" t="s">
        <v>7</v>
      </c>
      <c r="R592" s="18" t="s">
        <v>8</v>
      </c>
      <c r="S592" s="18" t="s">
        <v>2</v>
      </c>
      <c r="T592" s="18" t="s">
        <v>3</v>
      </c>
      <c r="U592" s="18" t="s">
        <v>4</v>
      </c>
      <c r="V592" s="18" t="s">
        <v>5</v>
      </c>
      <c r="W592" s="18" t="s">
        <v>6</v>
      </c>
      <c r="X592" s="18" t="s">
        <v>7</v>
      </c>
      <c r="Y592" s="18" t="s">
        <v>8</v>
      </c>
      <c r="Z592" s="18" t="s">
        <v>2</v>
      </c>
      <c r="AA592" s="18" t="s">
        <v>3</v>
      </c>
      <c r="AB592" s="18" t="s">
        <v>4</v>
      </c>
      <c r="AC592" s="18" t="s">
        <v>5</v>
      </c>
      <c r="AD592" s="18" t="s">
        <v>6</v>
      </c>
      <c r="AE592" s="18" t="s">
        <v>7</v>
      </c>
      <c r="AF592" s="18" t="s">
        <v>8</v>
      </c>
      <c r="AG592" s="18" t="s">
        <v>2</v>
      </c>
      <c r="AH592" s="18" t="s">
        <v>3</v>
      </c>
      <c r="AI592" s="18" t="s">
        <v>4</v>
      </c>
      <c r="AJ592" s="18" t="s">
        <v>5</v>
      </c>
      <c r="AK592" s="18" t="s">
        <v>6</v>
      </c>
      <c r="AL592" s="18" t="s">
        <v>7</v>
      </c>
      <c r="AM592" s="18" t="s">
        <v>8</v>
      </c>
      <c r="AN592" s="18" t="s">
        <v>2</v>
      </c>
      <c r="AO592" s="19" t="s">
        <v>3</v>
      </c>
      <c r="AP592" s="23"/>
      <c r="AQ592" s="23"/>
      <c r="AR592" s="23"/>
    </row>
    <row r="593" spans="4:44" ht="19" customHeight="1" thickBot="1" x14ac:dyDescent="0.45">
      <c r="D593" s="21" t="s">
        <v>10</v>
      </c>
      <c r="E593" s="20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31"/>
      <c r="AP593" s="39">
        <v>2</v>
      </c>
      <c r="AQ593" s="39"/>
      <c r="AR593" s="39"/>
    </row>
    <row r="594" spans="4:44" ht="19" customHeight="1" thickBot="1" x14ac:dyDescent="0.45">
      <c r="D594" s="22" t="s">
        <v>11</v>
      </c>
      <c r="E594" s="20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31"/>
      <c r="AP594" s="39">
        <v>32</v>
      </c>
      <c r="AQ594" s="39"/>
      <c r="AR594" s="39"/>
    </row>
    <row r="595" spans="4:44" ht="19" customHeight="1" thickBot="1" x14ac:dyDescent="0.45">
      <c r="D595" s="22" t="s">
        <v>12</v>
      </c>
      <c r="E595" s="20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31"/>
      <c r="AP595" s="39">
        <v>61</v>
      </c>
      <c r="AQ595" s="39"/>
      <c r="AR595" s="39"/>
    </row>
    <row r="596" spans="4:44" ht="19" customHeight="1" thickBot="1" x14ac:dyDescent="0.45">
      <c r="D596" s="22" t="s">
        <v>13</v>
      </c>
      <c r="E596" s="20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31"/>
      <c r="AP596" s="39">
        <v>7</v>
      </c>
      <c r="AQ596" s="39"/>
      <c r="AR596" s="39"/>
    </row>
    <row r="597" spans="4:44" ht="19" customHeight="1" thickBot="1" x14ac:dyDescent="0.45">
      <c r="D597" s="22" t="s">
        <v>14</v>
      </c>
      <c r="E597" s="20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31"/>
      <c r="AP597" s="39">
        <v>7</v>
      </c>
      <c r="AQ597" s="39"/>
      <c r="AR597" s="39"/>
    </row>
    <row r="598" spans="4:44" ht="19" customHeight="1" thickBot="1" x14ac:dyDescent="0.45">
      <c r="D598" s="22" t="s">
        <v>15</v>
      </c>
      <c r="E598" s="20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31"/>
      <c r="AP598" s="39">
        <v>10</v>
      </c>
      <c r="AQ598" s="39"/>
      <c r="AR598" s="39"/>
    </row>
    <row r="599" spans="4:44" ht="19" customHeight="1" thickBot="1" x14ac:dyDescent="0.45">
      <c r="D599" s="22" t="s">
        <v>16</v>
      </c>
      <c r="E599" s="20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31"/>
      <c r="AP599" s="39">
        <v>2</v>
      </c>
      <c r="AQ599" s="39"/>
      <c r="AR599" s="39"/>
    </row>
    <row r="600" spans="4:44" ht="19" customHeight="1" thickBot="1" x14ac:dyDescent="0.45">
      <c r="D600" s="22" t="s">
        <v>17</v>
      </c>
      <c r="E600" s="20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31"/>
      <c r="AP600" s="39">
        <v>4</v>
      </c>
      <c r="AQ600" s="39"/>
      <c r="AR600" s="39"/>
    </row>
    <row r="601" spans="4:44" ht="19" customHeight="1" thickBot="1" x14ac:dyDescent="0.45">
      <c r="D601" s="22" t="s">
        <v>18</v>
      </c>
      <c r="E601" s="20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31"/>
      <c r="AP601" s="39">
        <v>2</v>
      </c>
      <c r="AQ601" s="39"/>
      <c r="AR601" s="39"/>
    </row>
    <row r="602" spans="4:44" ht="19" customHeight="1" thickBot="1" x14ac:dyDescent="0.45">
      <c r="D602" s="22" t="s">
        <v>19</v>
      </c>
      <c r="E602" s="20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31"/>
      <c r="AP602" s="39">
        <v>6</v>
      </c>
      <c r="AQ602" s="39"/>
      <c r="AR602" s="39"/>
    </row>
    <row r="603" spans="4:44" ht="19" customHeight="1" thickBot="1" x14ac:dyDescent="0.45">
      <c r="D603" s="22" t="s">
        <v>20</v>
      </c>
      <c r="E603" s="20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31"/>
      <c r="AP603" s="39">
        <v>13</v>
      </c>
      <c r="AQ603" s="39"/>
      <c r="AR603" s="39"/>
    </row>
    <row r="604" spans="4:44" ht="19" customHeight="1" thickBot="1" x14ac:dyDescent="0.45">
      <c r="D604" s="22" t="s">
        <v>21</v>
      </c>
      <c r="E604" s="20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31"/>
      <c r="AP604" s="39">
        <v>1</v>
      </c>
      <c r="AQ604" s="39"/>
      <c r="AR604" s="39"/>
    </row>
    <row r="605" spans="4:44" ht="19" customHeight="1" thickBot="1" x14ac:dyDescent="0.45">
      <c r="D605" s="22" t="s">
        <v>22</v>
      </c>
      <c r="E605" s="20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31"/>
      <c r="AP605" s="39">
        <v>6</v>
      </c>
      <c r="AQ605" s="39"/>
      <c r="AR605" s="39"/>
    </row>
    <row r="606" spans="4:44" ht="19" customHeight="1" thickBot="1" x14ac:dyDescent="0.45"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26"/>
      <c r="AO606" s="26"/>
      <c r="AP606" s="26"/>
      <c r="AQ606" s="26"/>
      <c r="AR606" s="26"/>
    </row>
    <row r="607" spans="4:44" ht="19" customHeight="1" thickBot="1" x14ac:dyDescent="0.45">
      <c r="D607" s="21" t="s">
        <v>23</v>
      </c>
      <c r="E607" s="20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31"/>
      <c r="AP607" s="39" t="s">
        <v>24</v>
      </c>
      <c r="AQ607" s="39"/>
      <c r="AR607" s="39"/>
    </row>
    <row r="608" spans="4:44" ht="19" customHeight="1" thickBot="1" x14ac:dyDescent="0.45">
      <c r="D608" s="22" t="s">
        <v>25</v>
      </c>
      <c r="E608" s="20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31"/>
      <c r="AP608" s="39" t="s">
        <v>26</v>
      </c>
      <c r="AQ608" s="39"/>
      <c r="AR608" s="39"/>
    </row>
    <row r="609" spans="4:44" ht="19" customHeight="1" thickBot="1" x14ac:dyDescent="0.45">
      <c r="D609" s="22" t="s">
        <v>27</v>
      </c>
      <c r="E609" s="20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31"/>
      <c r="AP609" s="39" t="s">
        <v>28</v>
      </c>
      <c r="AQ609" s="39"/>
      <c r="AR609" s="39"/>
    </row>
    <row r="610" spans="4:44" ht="19" customHeight="1" thickBot="1" x14ac:dyDescent="0.45">
      <c r="D610" s="22" t="s">
        <v>29</v>
      </c>
      <c r="E610" s="20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31"/>
      <c r="AP610" s="39">
        <v>34</v>
      </c>
      <c r="AQ610" s="39"/>
      <c r="AR610" s="39"/>
    </row>
    <row r="611" spans="4:44" ht="19" customHeight="1" thickBot="1" x14ac:dyDescent="0.45">
      <c r="D611" s="22" t="s">
        <v>30</v>
      </c>
      <c r="E611" s="20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31"/>
      <c r="AP611" s="39">
        <v>13</v>
      </c>
      <c r="AQ611" s="39"/>
      <c r="AR611" s="39"/>
    </row>
    <row r="612" spans="4:44" ht="19" customHeight="1" thickBot="1" x14ac:dyDescent="0.45">
      <c r="D612" s="22" t="s">
        <v>31</v>
      </c>
      <c r="E612" s="20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31"/>
      <c r="AP612" s="39">
        <v>16</v>
      </c>
      <c r="AQ612" s="39"/>
      <c r="AR612" s="39"/>
    </row>
    <row r="613" spans="4:44" ht="19" customHeight="1" thickBot="1" x14ac:dyDescent="0.45">
      <c r="D613" s="22" t="s">
        <v>32</v>
      </c>
      <c r="E613" s="20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31"/>
      <c r="AP613" s="39">
        <v>15</v>
      </c>
      <c r="AQ613" s="39"/>
      <c r="AR613" s="39"/>
    </row>
    <row r="614" spans="4:44" ht="19" customHeight="1" thickBot="1" x14ac:dyDescent="0.45"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  <c r="AL614" s="26"/>
      <c r="AM614" s="26"/>
      <c r="AN614" s="26"/>
      <c r="AO614" s="32"/>
      <c r="AP614" s="26"/>
      <c r="AQ614" s="26"/>
      <c r="AR614" s="26"/>
    </row>
    <row r="615" spans="4:44" ht="19" customHeight="1" thickBot="1" x14ac:dyDescent="0.45">
      <c r="D615" s="21" t="s">
        <v>33</v>
      </c>
      <c r="E615" s="20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31"/>
      <c r="AP615" s="39">
        <v>3</v>
      </c>
      <c r="AQ615" s="39"/>
      <c r="AR615" s="39"/>
    </row>
    <row r="616" spans="4:44" ht="19" customHeight="1" thickBot="1" x14ac:dyDescent="0.45">
      <c r="D616" s="22" t="s">
        <v>34</v>
      </c>
      <c r="E616" s="20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31"/>
      <c r="AP616" s="39">
        <v>7</v>
      </c>
      <c r="AQ616" s="39"/>
      <c r="AR616" s="39"/>
    </row>
    <row r="617" spans="4:44" ht="19" customHeight="1" thickBot="1" x14ac:dyDescent="0.45">
      <c r="D617" s="22" t="s">
        <v>35</v>
      </c>
      <c r="E617" s="20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31"/>
      <c r="AP617" s="39">
        <v>2</v>
      </c>
      <c r="AQ617" s="39"/>
      <c r="AR617" s="39"/>
    </row>
    <row r="618" spans="4:44" ht="19" customHeight="1" thickBot="1" x14ac:dyDescent="0.45">
      <c r="D618" s="22" t="s">
        <v>36</v>
      </c>
      <c r="E618" s="20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31"/>
      <c r="AP618" s="39">
        <v>4</v>
      </c>
      <c r="AQ618" s="39"/>
      <c r="AR618" s="39"/>
    </row>
    <row r="619" spans="4:44" ht="19" customHeight="1" thickBot="1" x14ac:dyDescent="0.45">
      <c r="D619" s="22" t="s">
        <v>37</v>
      </c>
      <c r="E619" s="20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31"/>
      <c r="AP619" s="39">
        <v>2</v>
      </c>
      <c r="AQ619" s="39"/>
      <c r="AR619" s="39"/>
    </row>
    <row r="620" spans="4:44" ht="19" customHeight="1" thickBot="1" x14ac:dyDescent="0.45">
      <c r="D620" s="22" t="s">
        <v>38</v>
      </c>
      <c r="E620" s="20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31"/>
      <c r="AP620" s="39">
        <v>8</v>
      </c>
      <c r="AQ620" s="39"/>
      <c r="AR620" s="39"/>
    </row>
    <row r="621" spans="4:44" ht="19" customHeight="1" thickBot="1" x14ac:dyDescent="0.45"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33"/>
      <c r="AP621" s="34"/>
      <c r="AQ621" s="34"/>
      <c r="AR621" s="34"/>
    </row>
    <row r="622" spans="4:44" ht="19" customHeight="1" thickBot="1" x14ac:dyDescent="0.45">
      <c r="D622" s="21" t="s">
        <v>39</v>
      </c>
      <c r="E622" s="20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31"/>
      <c r="AP622" s="39">
        <v>3</v>
      </c>
      <c r="AQ622" s="39"/>
      <c r="AR622" s="39"/>
    </row>
    <row r="623" spans="4:44" ht="19" customHeight="1" thickBot="1" x14ac:dyDescent="0.45">
      <c r="D623" s="22" t="s">
        <v>40</v>
      </c>
      <c r="E623" s="20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31"/>
      <c r="AP623" s="39">
        <v>3</v>
      </c>
      <c r="AQ623" s="39"/>
      <c r="AR623" s="39"/>
    </row>
    <row r="624" spans="4:44" ht="19" customHeight="1" thickBot="1" x14ac:dyDescent="0.45">
      <c r="D624" s="22" t="s">
        <v>41</v>
      </c>
      <c r="E624" s="20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31"/>
      <c r="AP624" s="39">
        <v>2</v>
      </c>
      <c r="AQ624" s="39"/>
      <c r="AR624" s="39"/>
    </row>
    <row r="625" spans="4:44" ht="19" customHeight="1" thickBot="1" x14ac:dyDescent="0.45">
      <c r="D625" s="22" t="s">
        <v>42</v>
      </c>
      <c r="E625" s="20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31"/>
      <c r="AP625" s="39">
        <v>2</v>
      </c>
      <c r="AQ625" s="39"/>
      <c r="AR625" s="39"/>
    </row>
    <row r="626" spans="4:44" ht="19" customHeight="1" thickBot="1" x14ac:dyDescent="0.45"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32"/>
      <c r="AP626" s="26"/>
      <c r="AQ626" s="26"/>
      <c r="AR626" s="26"/>
    </row>
    <row r="627" spans="4:44" ht="19" customHeight="1" thickBot="1" x14ac:dyDescent="0.45">
      <c r="D627" s="21" t="s">
        <v>43</v>
      </c>
      <c r="E627" s="20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31"/>
      <c r="AP627" s="39">
        <v>2</v>
      </c>
      <c r="AQ627" s="39"/>
      <c r="AR627" s="39"/>
    </row>
    <row r="628" spans="4:44" ht="19" customHeight="1" thickBot="1" x14ac:dyDescent="0.45">
      <c r="D628" s="22" t="s">
        <v>44</v>
      </c>
      <c r="E628" s="20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31"/>
      <c r="AP628" s="39">
        <v>2</v>
      </c>
      <c r="AQ628" s="39"/>
      <c r="AR628" s="39"/>
    </row>
    <row r="629" spans="4:44" ht="19" customHeight="1" thickBot="1" x14ac:dyDescent="0.45">
      <c r="D629" s="22" t="s">
        <v>45</v>
      </c>
      <c r="E629" s="20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31"/>
      <c r="AP629" s="39">
        <v>1</v>
      </c>
      <c r="AQ629" s="39"/>
      <c r="AR629" s="39"/>
    </row>
    <row r="630" spans="4:44" ht="19" customHeight="1" thickBot="1" x14ac:dyDescent="0.45">
      <c r="D630" s="22" t="s">
        <v>46</v>
      </c>
      <c r="E630" s="20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31"/>
      <c r="AP630" s="39">
        <v>2</v>
      </c>
      <c r="AQ630" s="39"/>
      <c r="AR630" s="39"/>
    </row>
    <row r="631" spans="4:44" ht="19" customHeight="1" thickBot="1" x14ac:dyDescent="0.45">
      <c r="D631" s="22" t="s">
        <v>47</v>
      </c>
      <c r="E631" s="20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31"/>
      <c r="AP631" s="39">
        <v>2</v>
      </c>
      <c r="AQ631" s="39"/>
      <c r="AR631" s="39"/>
    </row>
    <row r="632" spans="4:44" ht="19" customHeight="1" thickBot="1" x14ac:dyDescent="0.45">
      <c r="D632" s="22" t="s">
        <v>48</v>
      </c>
      <c r="E632" s="20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31"/>
      <c r="AP632" s="39">
        <v>3</v>
      </c>
      <c r="AQ632" s="39"/>
      <c r="AR632" s="39"/>
    </row>
    <row r="633" spans="4:44" ht="19" customHeight="1" thickBot="1" x14ac:dyDescent="0.45">
      <c r="D633" s="22" t="s">
        <v>49</v>
      </c>
      <c r="E633" s="20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31"/>
      <c r="AP633" s="39">
        <v>2</v>
      </c>
      <c r="AQ633" s="39"/>
      <c r="AR633" s="39"/>
    </row>
    <row r="634" spans="4:44" ht="19" customHeight="1" thickBot="1" x14ac:dyDescent="0.45">
      <c r="D634" s="22" t="s">
        <v>50</v>
      </c>
      <c r="E634" s="20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31"/>
      <c r="AP634" s="39">
        <v>1</v>
      </c>
      <c r="AQ634" s="39"/>
      <c r="AR634" s="39"/>
    </row>
    <row r="635" spans="4:44" ht="19" customHeight="1" thickBot="1" x14ac:dyDescent="0.45">
      <c r="D635" s="22" t="s">
        <v>51</v>
      </c>
      <c r="E635" s="20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31"/>
      <c r="AP635" s="39">
        <v>1</v>
      </c>
      <c r="AQ635" s="39"/>
      <c r="AR635" s="39"/>
    </row>
    <row r="636" spans="4:44" ht="19" customHeight="1" thickBot="1" x14ac:dyDescent="0.45">
      <c r="D636" s="22" t="s">
        <v>52</v>
      </c>
      <c r="E636" s="20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31"/>
      <c r="AP636" s="39">
        <v>3</v>
      </c>
      <c r="AQ636" s="39"/>
      <c r="AR636" s="39"/>
    </row>
    <row r="637" spans="4:44" ht="19" customHeight="1" thickBot="1" x14ac:dyDescent="0.45">
      <c r="D637" s="22" t="s">
        <v>53</v>
      </c>
      <c r="E637" s="20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31"/>
      <c r="AP637" s="39">
        <v>2</v>
      </c>
      <c r="AQ637" s="39"/>
      <c r="AR637" s="39"/>
    </row>
    <row r="638" spans="4:44" ht="19" customHeight="1" thickBot="1" x14ac:dyDescent="0.45">
      <c r="D638" s="22" t="s">
        <v>54</v>
      </c>
      <c r="E638" s="20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31"/>
      <c r="AP638" s="39">
        <v>1</v>
      </c>
      <c r="AQ638" s="39"/>
      <c r="AR638" s="39"/>
    </row>
    <row r="639" spans="4:44" ht="19" customHeight="1" thickBot="1" x14ac:dyDescent="0.45">
      <c r="D639" s="22" t="s">
        <v>55</v>
      </c>
      <c r="E639" s="20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31"/>
      <c r="AP639" s="39">
        <v>1</v>
      </c>
      <c r="AQ639" s="39"/>
      <c r="AR639" s="39"/>
    </row>
    <row r="640" spans="4:44" ht="19" customHeight="1" thickBot="1" x14ac:dyDescent="0.45">
      <c r="D640" s="22" t="s">
        <v>56</v>
      </c>
      <c r="E640" s="20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31"/>
      <c r="AP640" s="39">
        <v>2</v>
      </c>
      <c r="AQ640" s="39"/>
      <c r="AR640" s="39"/>
    </row>
    <row r="641" spans="4:44" ht="19" customHeight="1" thickBot="1" x14ac:dyDescent="0.45">
      <c r="D641" s="22" t="s">
        <v>57</v>
      </c>
      <c r="E641" s="20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31"/>
      <c r="AP641" s="39">
        <v>2</v>
      </c>
      <c r="AQ641" s="39"/>
      <c r="AR641" s="39"/>
    </row>
    <row r="642" spans="4:44" ht="19" customHeight="1" x14ac:dyDescent="0.4">
      <c r="D642" s="8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30"/>
      <c r="AQ642" s="30"/>
      <c r="AR642" s="30"/>
    </row>
    <row r="643" spans="4:44" ht="19" customHeight="1" x14ac:dyDescent="0.4">
      <c r="D643" s="8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30"/>
      <c r="AQ643" s="30"/>
      <c r="AR643" s="30"/>
    </row>
    <row r="644" spans="4:44" ht="19" customHeight="1" x14ac:dyDescent="0.4">
      <c r="D644" s="8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30"/>
      <c r="AQ644" s="30"/>
      <c r="AR644" s="30"/>
    </row>
    <row r="645" spans="4:44" ht="19" customHeight="1" x14ac:dyDescent="0.4">
      <c r="D645" s="8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30"/>
      <c r="AQ645" s="30"/>
      <c r="AR645" s="30"/>
    </row>
    <row r="646" spans="4:44" ht="19" customHeight="1" x14ac:dyDescent="0.4">
      <c r="D646" s="8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30"/>
      <c r="AQ646" s="30"/>
      <c r="AR646" s="30"/>
    </row>
    <row r="647" spans="4:44" ht="19" customHeight="1" x14ac:dyDescent="0.4">
      <c r="D647" s="8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30"/>
      <c r="AQ647" s="30"/>
      <c r="AR647" s="30"/>
    </row>
    <row r="648" spans="4:44" ht="19" customHeight="1" x14ac:dyDescent="0.4">
      <c r="D648" s="9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30"/>
      <c r="AQ648" s="30"/>
      <c r="AR648" s="30"/>
    </row>
    <row r="649" spans="4:44" ht="19" customHeight="1" x14ac:dyDescent="0.4">
      <c r="D649" s="9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30"/>
      <c r="AQ649" s="30"/>
      <c r="AR649" s="30"/>
    </row>
    <row r="650" spans="4:44" ht="12" customHeight="1" x14ac:dyDescent="0.4"/>
    <row r="651" spans="4:44" s="10" customFormat="1" ht="19" customHeight="1" x14ac:dyDescent="0.4">
      <c r="D651" s="41">
        <f>DATE(CalendarYear,12,1)</f>
        <v>46357</v>
      </c>
      <c r="E651" s="16" t="str">
        <f>IF(DAY(DecSun1)=1,"",IF(AND(YEAR(DecSun1+1)=CalendarYear,MONTH(DecSun1+1)=12),DecSun1+1,""))</f>
        <v/>
      </c>
      <c r="F651" s="16" t="str">
        <f>IF(DAY(DecSun1)=1,"",IF(AND(YEAR(DecSun1+2)=CalendarYear,MONTH(DecSun1+2)=12),DecSun1+2,""))</f>
        <v/>
      </c>
      <c r="G651" s="16">
        <f>IF(DAY(DecSun1)=1,"",IF(AND(YEAR(DecSun1+3)=CalendarYear,MONTH(DecSun1+3)=12),DecSun1+3,""))</f>
        <v>46357</v>
      </c>
      <c r="H651" s="16">
        <f>IF(DAY(DecSun1)=1,"",IF(AND(YEAR(DecSun1+4)=CalendarYear,MONTH(DecSun1+4)=12),DecSun1+4,""))</f>
        <v>46358</v>
      </c>
      <c r="I651" s="16">
        <f>IF(DAY(DecSun1)=1,"",IF(AND(YEAR(DecSun1+5)=CalendarYear,MONTH(DecSun1+5)=12),DecSun1+5,""))</f>
        <v>46359</v>
      </c>
      <c r="J651" s="16">
        <f>IF(DAY(DecSun1)=1,"",IF(AND(YEAR(DecSun1+6)=CalendarYear,MONTH(DecSun1+6)=12),DecSun1+6,""))</f>
        <v>46360</v>
      </c>
      <c r="K651" s="16">
        <f>IF(DAY(DecSun1)=1,IF(AND(YEAR(DecSun1)=CalendarYear,MONTH(DecSun1)=12),DecSun1,""),IF(AND(YEAR(DecSun1+7)=CalendarYear,MONTH(DecSun1+7)=12),DecSun1+7,""))</f>
        <v>46361</v>
      </c>
      <c r="L651" s="16">
        <f>IF(DAY(DecSun1)=1,IF(AND(YEAR(DecSun1+1)=CalendarYear,MONTH(DecSun1+1)=12),DecSun1+1,""),IF(AND(YEAR(DecSun1+8)=CalendarYear,MONTH(DecSun1+8)=12),DecSun1+8,""))</f>
        <v>46362</v>
      </c>
      <c r="M651" s="16">
        <f>IF(DAY(DecSun1)=1,IF(AND(YEAR(DecSun1+2)=CalendarYear,MONTH(DecSun1+2)=12),DecSun1+2,""),IF(AND(YEAR(DecSun1+9)=CalendarYear,MONTH(DecSun1+9)=12),DecSun1+9,""))</f>
        <v>46363</v>
      </c>
      <c r="N651" s="16">
        <f>IF(DAY(DecSun1)=1,IF(AND(YEAR(DecSun1+3)=CalendarYear,MONTH(DecSun1+3)=12),DecSun1+3,""),IF(AND(YEAR(DecSun1+10)=CalendarYear,MONTH(DecSun1+10)=12),DecSun1+10,""))</f>
        <v>46364</v>
      </c>
      <c r="O651" s="16">
        <f>IF(DAY(DecSun1)=1,IF(AND(YEAR(DecSun1+4)=CalendarYear,MONTH(DecSun1+4)=12),DecSun1+4,""),IF(AND(YEAR(DecSun1+11)=CalendarYear,MONTH(DecSun1+11)=12),DecSun1+11,""))</f>
        <v>46365</v>
      </c>
      <c r="P651" s="16">
        <f>IF(DAY(DecSun1)=1,IF(AND(YEAR(DecSun1+5)=CalendarYear,MONTH(DecSun1+5)=12),DecSun1+5,""),IF(AND(YEAR(DecSun1+12)=CalendarYear,MONTH(DecSun1+12)=12),DecSun1+12,""))</f>
        <v>46366</v>
      </c>
      <c r="Q651" s="16">
        <f>IF(DAY(DecSun1)=1,IF(AND(YEAR(DecSun1+6)=CalendarYear,MONTH(DecSun1+6)=12),DecSun1+6,""),IF(AND(YEAR(DecSun1+13)=CalendarYear,MONTH(DecSun1+13)=12),DecSun1+13,""))</f>
        <v>46367</v>
      </c>
      <c r="R651" s="16">
        <f>IF(DAY(DecSun1)=1,IF(AND(YEAR(DecSun1+7)=CalendarYear,MONTH(DecSun1+7)=12),DecSun1+7,""),IF(AND(YEAR(DecSun1+14)=CalendarYear,MONTH(DecSun1+14)=12),DecSun1+14,""))</f>
        <v>46368</v>
      </c>
      <c r="S651" s="16">
        <f>IF(DAY(DecSun1)=1,IF(AND(YEAR(DecSun1+8)=CalendarYear,MONTH(DecSun1+8)=12),DecSun1+8,""),IF(AND(YEAR(DecSun1+15)=CalendarYear,MONTH(DecSun1+15)=12),DecSun1+15,""))</f>
        <v>46369</v>
      </c>
      <c r="T651" s="16">
        <f>IF(DAY(DecSun1)=1,IF(AND(YEAR(DecSun1+9)=CalendarYear,MONTH(DecSun1+9)=12),DecSun1+9,""),IF(AND(YEAR(DecSun1+16)=CalendarYear,MONTH(DecSun1+16)=12),DecSun1+16,""))</f>
        <v>46370</v>
      </c>
      <c r="U651" s="16">
        <f>IF(DAY(DecSun1)=1,IF(AND(YEAR(DecSun1+10)=CalendarYear,MONTH(DecSun1+10)=12),DecSun1+10,""),IF(AND(YEAR(DecSun1+17)=CalendarYear,MONTH(DecSun1+17)=12),DecSun1+17,""))</f>
        <v>46371</v>
      </c>
      <c r="V651" s="16">
        <f>IF(DAY(DecSun1)=1,IF(AND(YEAR(DecSun1+11)=CalendarYear,MONTH(DecSun1+11)=12),DecSun1+11,""),IF(AND(YEAR(DecSun1+18)=CalendarYear,MONTH(DecSun1+18)=12),DecSun1+18,""))</f>
        <v>46372</v>
      </c>
      <c r="W651" s="16">
        <f>IF(DAY(DecSun1)=1,IF(AND(YEAR(DecSun1+12)=CalendarYear,MONTH(DecSun1+12)=12),DecSun1+12,""),IF(AND(YEAR(DecSun1+19)=CalendarYear,MONTH(DecSun1+19)=12),DecSun1+19,""))</f>
        <v>46373</v>
      </c>
      <c r="X651" s="16">
        <f>IF(DAY(DecSun1)=1,IF(AND(YEAR(DecSun1+13)=CalendarYear,MONTH(DecSun1+13)=12),DecSun1+13,""),IF(AND(YEAR(DecSun1+20)=CalendarYear,MONTH(DecSun1+20)=12),DecSun1+20,""))</f>
        <v>46374</v>
      </c>
      <c r="Y651" s="16">
        <f>IF(DAY(DecSun1)=1,IF(AND(YEAR(DecSun1+14)=CalendarYear,MONTH(DecSun1+14)=12),DecSun1+14,""),IF(AND(YEAR(DecSun1+21)=CalendarYear,MONTH(DecSun1+21)=12),DecSun1+21,""))</f>
        <v>46375</v>
      </c>
      <c r="Z651" s="16">
        <f>IF(DAY(DecSun1)=1,IF(AND(YEAR(DecSun1+15)=CalendarYear,MONTH(DecSun1+15)=12),DecSun1+15,""),IF(AND(YEAR(DecSun1+22)=CalendarYear,MONTH(DecSun1+22)=12),DecSun1+22,""))</f>
        <v>46376</v>
      </c>
      <c r="AA651" s="16">
        <f>IF(DAY(DecSun1)=1,IF(AND(YEAR(DecSun1+16)=CalendarYear,MONTH(DecSun1+16)=12),DecSun1+16,""),IF(AND(YEAR(DecSun1+23)=CalendarYear,MONTH(DecSun1+23)=12),DecSun1+23,""))</f>
        <v>46377</v>
      </c>
      <c r="AB651" s="16">
        <f>IF(DAY(DecSun1)=1,IF(AND(YEAR(DecSun1+17)=CalendarYear,MONTH(DecSun1+17)=12),DecSun1+17,""),IF(AND(YEAR(DecSun1+24)=CalendarYear,MONTH(DecSun1+24)=12),DecSun1+24,""))</f>
        <v>46378</v>
      </c>
      <c r="AC651" s="16">
        <f>IF(DAY(DecSun1)=1,IF(AND(YEAR(DecSun1+18)=CalendarYear,MONTH(DecSun1+18)=12),DecSun1+18,""),IF(AND(YEAR(DecSun1+25)=CalendarYear,MONTH(DecSun1+25)=12),DecSun1+25,""))</f>
        <v>46379</v>
      </c>
      <c r="AD651" s="16">
        <f>IF(DAY(DecSun1)=1,IF(AND(YEAR(DecSun1+19)=CalendarYear,MONTH(DecSun1+19)=12),DecSun1+19,""),IF(AND(YEAR(DecSun1+26)=CalendarYear,MONTH(DecSun1+26)=12),DecSun1+26,""))</f>
        <v>46380</v>
      </c>
      <c r="AE651" s="16">
        <f>IF(DAY(DecSun1)=1,IF(AND(YEAR(DecSun1+20)=CalendarYear,MONTH(DecSun1+20)=12),DecSun1+20,""),IF(AND(YEAR(DecSun1+27)=CalendarYear,MONTH(DecSun1+27)=12),DecSun1+27,""))</f>
        <v>46381</v>
      </c>
      <c r="AF651" s="16">
        <f>IF(DAY(DecSun1)=1,IF(AND(YEAR(DecSun1+21)=CalendarYear,MONTH(DecSun1+21)=12),DecSun1+21,""),IF(AND(YEAR(DecSun1+28)=CalendarYear,MONTH(DecSun1+28)=12),DecSun1+28,""))</f>
        <v>46382</v>
      </c>
      <c r="AG651" s="16">
        <f>IF(DAY(DecSun1)=1,IF(AND(YEAR(DecSun1+22)=CalendarYear,MONTH(DecSun1+22)=12),DecSun1+22,""),IF(AND(YEAR(DecSun1+29)=CalendarYear,MONTH(DecSun1+29)=12),DecSun1+29,""))</f>
        <v>46383</v>
      </c>
      <c r="AH651" s="16">
        <f>IF(DAY(DecSun1)=1,IF(AND(YEAR(DecSun1+23)=CalendarYear,MONTH(DecSun1+23)=12),DecSun1+23,""),IF(AND(YEAR(DecSun1+30)=CalendarYear,MONTH(DecSun1+30)=12),DecSun1+30,""))</f>
        <v>46384</v>
      </c>
      <c r="AI651" s="16">
        <f>IF(DAY(DecSun1)=1,IF(AND(YEAR(DecSun1+24)=CalendarYear,MONTH(DecSun1+24)=12),DecSun1+24,""),IF(AND(YEAR(DecSun1+31)=CalendarYear,MONTH(DecSun1+31)=12),DecSun1+31,""))</f>
        <v>46385</v>
      </c>
      <c r="AJ651" s="16">
        <f>IF(DAY(DecSun1)=1,IF(AND(YEAR(DecSun1+25)=CalendarYear,MONTH(DecSun1+25)=12),DecSun1+25,""),IF(AND(YEAR(DecSun1+32)=CalendarYear,MONTH(DecSun1+32)=12),DecSun1+32,""))</f>
        <v>46386</v>
      </c>
      <c r="AK651" s="16">
        <f>IF(DAY(DecSun1)=1,IF(AND(YEAR(DecSun1+26)=CalendarYear,MONTH(DecSun1+26)=12),DecSun1+26,""),IF(AND(YEAR(DecSun1+33)=CalendarYear,MONTH(DecSun1+33)=12),DecSun1+33,""))</f>
        <v>46387</v>
      </c>
      <c r="AL651" s="16" t="str">
        <f>IF(DAY(DecSun1)=1,IF(AND(YEAR(DecSun1+27)=CalendarYear,MONTH(DecSun1+27)=12),DecSun1+27,""),IF(AND(YEAR(DecSun1+34)=CalendarYear,MONTH(DecSun1+34)=12),DecSun1+34,""))</f>
        <v/>
      </c>
      <c r="AM651" s="16" t="str">
        <f>IF(DAY(DecSun1)=1,IF(AND(YEAR(DecSun1+28)=CalendarYear,MONTH(DecSun1+28)=12),DecSun1+28,""),IF(AND(YEAR(DecSun1+35)=CalendarYear,MONTH(DecSun1+35)=12),DecSun1+35,""))</f>
        <v/>
      </c>
      <c r="AN651" s="16" t="str">
        <f>IF(DAY(DecSun1)=1,IF(AND(YEAR(DecSun1+29)=CalendarYear,MONTH(DecSun1+29)=12),DecSun1+29,""),IF(AND(YEAR(DecSun1+36)=CalendarYear,MONTH(DecSun1+36)=12),DecSun1+36,""))</f>
        <v/>
      </c>
      <c r="AO651" s="17" t="str">
        <f>IF(DAY(DecSun1)=1,IF(AND(YEAR(DecSun1+30)=CalendarYear,MONTH(DecSun1+30)=12),DecSun1+30,""),IF(AND(YEAR(DecSun1+37)=CalendarYear,MONTH(DecSun1+37)=12),DecSun1+37,""))</f>
        <v/>
      </c>
      <c r="AP651" s="29"/>
      <c r="AQ651" s="29"/>
      <c r="AR651" s="29"/>
    </row>
    <row r="652" spans="4:44" s="10" customFormat="1" ht="19" customHeight="1" thickBot="1" x14ac:dyDescent="0.45">
      <c r="D652" s="43"/>
      <c r="E652" s="18" t="s">
        <v>2</v>
      </c>
      <c r="F652" s="18" t="s">
        <v>3</v>
      </c>
      <c r="G652" s="18" t="s">
        <v>4</v>
      </c>
      <c r="H652" s="18" t="s">
        <v>5</v>
      </c>
      <c r="I652" s="18" t="s">
        <v>6</v>
      </c>
      <c r="J652" s="18" t="s">
        <v>7</v>
      </c>
      <c r="K652" s="18" t="s">
        <v>8</v>
      </c>
      <c r="L652" s="18" t="s">
        <v>2</v>
      </c>
      <c r="M652" s="18" t="s">
        <v>3</v>
      </c>
      <c r="N652" s="18" t="s">
        <v>4</v>
      </c>
      <c r="O652" s="18" t="s">
        <v>5</v>
      </c>
      <c r="P652" s="18" t="s">
        <v>6</v>
      </c>
      <c r="Q652" s="18" t="s">
        <v>7</v>
      </c>
      <c r="R652" s="18" t="s">
        <v>8</v>
      </c>
      <c r="S652" s="18" t="s">
        <v>2</v>
      </c>
      <c r="T652" s="18" t="s">
        <v>3</v>
      </c>
      <c r="U652" s="18" t="s">
        <v>4</v>
      </c>
      <c r="V652" s="18" t="s">
        <v>5</v>
      </c>
      <c r="W652" s="18" t="s">
        <v>6</v>
      </c>
      <c r="X652" s="18" t="s">
        <v>7</v>
      </c>
      <c r="Y652" s="18" t="s">
        <v>8</v>
      </c>
      <c r="Z652" s="18" t="s">
        <v>2</v>
      </c>
      <c r="AA652" s="18" t="s">
        <v>3</v>
      </c>
      <c r="AB652" s="18" t="s">
        <v>4</v>
      </c>
      <c r="AC652" s="18" t="s">
        <v>5</v>
      </c>
      <c r="AD652" s="18" t="s">
        <v>6</v>
      </c>
      <c r="AE652" s="18" t="s">
        <v>7</v>
      </c>
      <c r="AF652" s="18" t="s">
        <v>8</v>
      </c>
      <c r="AG652" s="18" t="s">
        <v>2</v>
      </c>
      <c r="AH652" s="18" t="s">
        <v>3</v>
      </c>
      <c r="AI652" s="18" t="s">
        <v>4</v>
      </c>
      <c r="AJ652" s="18" t="s">
        <v>5</v>
      </c>
      <c r="AK652" s="18" t="s">
        <v>6</v>
      </c>
      <c r="AL652" s="18" t="s">
        <v>7</v>
      </c>
      <c r="AM652" s="18" t="s">
        <v>8</v>
      </c>
      <c r="AN652" s="18" t="s">
        <v>2</v>
      </c>
      <c r="AO652" s="19" t="s">
        <v>3</v>
      </c>
      <c r="AP652" s="23"/>
      <c r="AQ652" s="23"/>
      <c r="AR652" s="23"/>
    </row>
    <row r="653" spans="4:44" ht="19" customHeight="1" thickBot="1" x14ac:dyDescent="0.45">
      <c r="D653" s="21" t="s">
        <v>10</v>
      </c>
      <c r="E653" s="20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31"/>
      <c r="AP653" s="39">
        <v>2</v>
      </c>
      <c r="AQ653" s="39"/>
      <c r="AR653" s="39"/>
    </row>
    <row r="654" spans="4:44" ht="19" customHeight="1" thickBot="1" x14ac:dyDescent="0.45">
      <c r="D654" s="22" t="s">
        <v>11</v>
      </c>
      <c r="E654" s="20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31"/>
      <c r="AP654" s="39">
        <v>32</v>
      </c>
      <c r="AQ654" s="39"/>
      <c r="AR654" s="39"/>
    </row>
    <row r="655" spans="4:44" ht="19" customHeight="1" thickBot="1" x14ac:dyDescent="0.45">
      <c r="D655" s="22" t="s">
        <v>12</v>
      </c>
      <c r="E655" s="20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31"/>
      <c r="AP655" s="39">
        <v>61</v>
      </c>
      <c r="AQ655" s="39"/>
      <c r="AR655" s="39"/>
    </row>
    <row r="656" spans="4:44" ht="19" customHeight="1" thickBot="1" x14ac:dyDescent="0.45">
      <c r="D656" s="22" t="s">
        <v>13</v>
      </c>
      <c r="E656" s="20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31"/>
      <c r="AP656" s="39">
        <v>7</v>
      </c>
      <c r="AQ656" s="39"/>
      <c r="AR656" s="39"/>
    </row>
    <row r="657" spans="4:44" ht="19" customHeight="1" thickBot="1" x14ac:dyDescent="0.45">
      <c r="D657" s="22" t="s">
        <v>14</v>
      </c>
      <c r="E657" s="20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31"/>
      <c r="AP657" s="39">
        <v>7</v>
      </c>
      <c r="AQ657" s="39"/>
      <c r="AR657" s="39"/>
    </row>
    <row r="658" spans="4:44" ht="19" customHeight="1" thickBot="1" x14ac:dyDescent="0.45">
      <c r="D658" s="22" t="s">
        <v>15</v>
      </c>
      <c r="E658" s="20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31"/>
      <c r="AP658" s="39">
        <v>10</v>
      </c>
      <c r="AQ658" s="39"/>
      <c r="AR658" s="39"/>
    </row>
    <row r="659" spans="4:44" ht="19" customHeight="1" thickBot="1" x14ac:dyDescent="0.45">
      <c r="D659" s="22" t="s">
        <v>16</v>
      </c>
      <c r="E659" s="20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31"/>
      <c r="AP659" s="39">
        <v>2</v>
      </c>
      <c r="AQ659" s="39"/>
      <c r="AR659" s="39"/>
    </row>
    <row r="660" spans="4:44" ht="19" customHeight="1" thickBot="1" x14ac:dyDescent="0.45">
      <c r="D660" s="22" t="s">
        <v>17</v>
      </c>
      <c r="E660" s="20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31"/>
      <c r="AP660" s="39">
        <v>4</v>
      </c>
      <c r="AQ660" s="39"/>
      <c r="AR660" s="39"/>
    </row>
    <row r="661" spans="4:44" ht="19" customHeight="1" thickBot="1" x14ac:dyDescent="0.45">
      <c r="D661" s="22" t="s">
        <v>18</v>
      </c>
      <c r="E661" s="20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31"/>
      <c r="AP661" s="39">
        <v>2</v>
      </c>
      <c r="AQ661" s="39"/>
      <c r="AR661" s="39"/>
    </row>
    <row r="662" spans="4:44" ht="19" customHeight="1" thickBot="1" x14ac:dyDescent="0.45">
      <c r="D662" s="22" t="s">
        <v>19</v>
      </c>
      <c r="E662" s="20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31"/>
      <c r="AP662" s="39">
        <v>6</v>
      </c>
      <c r="AQ662" s="39"/>
      <c r="AR662" s="39"/>
    </row>
    <row r="663" spans="4:44" ht="19" customHeight="1" thickBot="1" x14ac:dyDescent="0.45">
      <c r="D663" s="22" t="s">
        <v>20</v>
      </c>
      <c r="E663" s="20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31"/>
      <c r="AP663" s="39">
        <v>13</v>
      </c>
      <c r="AQ663" s="39"/>
      <c r="AR663" s="39"/>
    </row>
    <row r="664" spans="4:44" ht="19" customHeight="1" thickBot="1" x14ac:dyDescent="0.45">
      <c r="D664" s="22" t="s">
        <v>21</v>
      </c>
      <c r="E664" s="20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31"/>
      <c r="AP664" s="39">
        <v>1</v>
      </c>
      <c r="AQ664" s="39"/>
      <c r="AR664" s="39"/>
    </row>
    <row r="665" spans="4:44" ht="19" customHeight="1" thickBot="1" x14ac:dyDescent="0.45">
      <c r="D665" s="22" t="s">
        <v>22</v>
      </c>
      <c r="E665" s="20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31"/>
      <c r="AP665" s="39">
        <v>6</v>
      </c>
      <c r="AQ665" s="39"/>
      <c r="AR665" s="39"/>
    </row>
    <row r="666" spans="4:44" ht="19" customHeight="1" thickBot="1" x14ac:dyDescent="0.45"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26"/>
      <c r="AO666" s="26"/>
      <c r="AP666" s="26"/>
      <c r="AQ666" s="26"/>
      <c r="AR666" s="26"/>
    </row>
    <row r="667" spans="4:44" ht="19" customHeight="1" thickBot="1" x14ac:dyDescent="0.45">
      <c r="D667" s="21" t="s">
        <v>23</v>
      </c>
      <c r="E667" s="20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31"/>
      <c r="AP667" s="39" t="s">
        <v>24</v>
      </c>
      <c r="AQ667" s="39"/>
      <c r="AR667" s="39"/>
    </row>
    <row r="668" spans="4:44" ht="19" customHeight="1" thickBot="1" x14ac:dyDescent="0.45">
      <c r="D668" s="22" t="s">
        <v>25</v>
      </c>
      <c r="E668" s="20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31"/>
      <c r="AP668" s="39" t="s">
        <v>26</v>
      </c>
      <c r="AQ668" s="39"/>
      <c r="AR668" s="39"/>
    </row>
    <row r="669" spans="4:44" ht="19" customHeight="1" thickBot="1" x14ac:dyDescent="0.45">
      <c r="D669" s="22" t="s">
        <v>27</v>
      </c>
      <c r="E669" s="20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31"/>
      <c r="AP669" s="39" t="s">
        <v>28</v>
      </c>
      <c r="AQ669" s="39"/>
      <c r="AR669" s="39"/>
    </row>
    <row r="670" spans="4:44" ht="19" customHeight="1" thickBot="1" x14ac:dyDescent="0.45">
      <c r="D670" s="22" t="s">
        <v>29</v>
      </c>
      <c r="E670" s="20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31"/>
      <c r="AP670" s="39">
        <v>34</v>
      </c>
      <c r="AQ670" s="39"/>
      <c r="AR670" s="39"/>
    </row>
    <row r="671" spans="4:44" ht="19" customHeight="1" thickBot="1" x14ac:dyDescent="0.45">
      <c r="D671" s="22" t="s">
        <v>30</v>
      </c>
      <c r="E671" s="20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31"/>
      <c r="AP671" s="39">
        <v>13</v>
      </c>
      <c r="AQ671" s="39"/>
      <c r="AR671" s="39"/>
    </row>
    <row r="672" spans="4:44" ht="19" customHeight="1" thickBot="1" x14ac:dyDescent="0.45">
      <c r="D672" s="22" t="s">
        <v>31</v>
      </c>
      <c r="E672" s="20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31"/>
      <c r="AP672" s="39">
        <v>16</v>
      </c>
      <c r="AQ672" s="39"/>
      <c r="AR672" s="39"/>
    </row>
    <row r="673" spans="4:44" ht="19" customHeight="1" thickBot="1" x14ac:dyDescent="0.45">
      <c r="D673" s="22" t="s">
        <v>32</v>
      </c>
      <c r="E673" s="20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31"/>
      <c r="AP673" s="39">
        <v>15</v>
      </c>
      <c r="AQ673" s="39"/>
      <c r="AR673" s="39"/>
    </row>
    <row r="674" spans="4:44" ht="19" customHeight="1" thickBot="1" x14ac:dyDescent="0.45"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26"/>
      <c r="AO674" s="32"/>
      <c r="AP674" s="26"/>
      <c r="AQ674" s="26"/>
      <c r="AR674" s="26"/>
    </row>
    <row r="675" spans="4:44" ht="19" customHeight="1" thickBot="1" x14ac:dyDescent="0.45">
      <c r="D675" s="21" t="s">
        <v>33</v>
      </c>
      <c r="E675" s="20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31"/>
      <c r="AP675" s="39">
        <v>3</v>
      </c>
      <c r="AQ675" s="39"/>
      <c r="AR675" s="39"/>
    </row>
    <row r="676" spans="4:44" ht="19" customHeight="1" thickBot="1" x14ac:dyDescent="0.45">
      <c r="D676" s="22" t="s">
        <v>34</v>
      </c>
      <c r="E676" s="20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31"/>
      <c r="AP676" s="39">
        <v>7</v>
      </c>
      <c r="AQ676" s="39"/>
      <c r="AR676" s="39"/>
    </row>
    <row r="677" spans="4:44" ht="19" customHeight="1" thickBot="1" x14ac:dyDescent="0.45">
      <c r="D677" s="22" t="s">
        <v>35</v>
      </c>
      <c r="E677" s="20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31"/>
      <c r="AP677" s="39">
        <v>2</v>
      </c>
      <c r="AQ677" s="39"/>
      <c r="AR677" s="39"/>
    </row>
    <row r="678" spans="4:44" ht="19" customHeight="1" thickBot="1" x14ac:dyDescent="0.45">
      <c r="D678" s="22" t="s">
        <v>36</v>
      </c>
      <c r="E678" s="20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31"/>
      <c r="AP678" s="39">
        <v>4</v>
      </c>
      <c r="AQ678" s="39"/>
      <c r="AR678" s="39"/>
    </row>
    <row r="679" spans="4:44" ht="19" customHeight="1" thickBot="1" x14ac:dyDescent="0.45">
      <c r="D679" s="22" t="s">
        <v>37</v>
      </c>
      <c r="E679" s="20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31"/>
      <c r="AP679" s="39">
        <v>2</v>
      </c>
      <c r="AQ679" s="39"/>
      <c r="AR679" s="39"/>
    </row>
    <row r="680" spans="4:44" ht="19" customHeight="1" thickBot="1" x14ac:dyDescent="0.45">
      <c r="D680" s="22" t="s">
        <v>38</v>
      </c>
      <c r="E680" s="20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31"/>
      <c r="AP680" s="39">
        <v>8</v>
      </c>
      <c r="AQ680" s="39"/>
      <c r="AR680" s="39"/>
    </row>
    <row r="681" spans="4:44" ht="19" customHeight="1" thickBot="1" x14ac:dyDescent="0.45"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33"/>
      <c r="AP681" s="34"/>
      <c r="AQ681" s="34"/>
      <c r="AR681" s="34"/>
    </row>
    <row r="682" spans="4:44" ht="19" customHeight="1" thickBot="1" x14ac:dyDescent="0.45">
      <c r="D682" s="21" t="s">
        <v>39</v>
      </c>
      <c r="E682" s="20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31"/>
      <c r="AP682" s="39">
        <v>3</v>
      </c>
      <c r="AQ682" s="39"/>
      <c r="AR682" s="39"/>
    </row>
    <row r="683" spans="4:44" ht="19" customHeight="1" thickBot="1" x14ac:dyDescent="0.45">
      <c r="D683" s="22" t="s">
        <v>40</v>
      </c>
      <c r="E683" s="20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31"/>
      <c r="AP683" s="39">
        <v>3</v>
      </c>
      <c r="AQ683" s="39"/>
      <c r="AR683" s="39"/>
    </row>
    <row r="684" spans="4:44" ht="19" customHeight="1" thickBot="1" x14ac:dyDescent="0.45">
      <c r="D684" s="22" t="s">
        <v>41</v>
      </c>
      <c r="E684" s="20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31"/>
      <c r="AP684" s="39">
        <v>2</v>
      </c>
      <c r="AQ684" s="39"/>
      <c r="AR684" s="39"/>
    </row>
    <row r="685" spans="4:44" ht="19" customHeight="1" thickBot="1" x14ac:dyDescent="0.45">
      <c r="D685" s="22" t="s">
        <v>42</v>
      </c>
      <c r="E685" s="20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31"/>
      <c r="AP685" s="39">
        <v>2</v>
      </c>
      <c r="AQ685" s="39"/>
      <c r="AR685" s="39"/>
    </row>
    <row r="686" spans="4:44" ht="19" customHeight="1" thickBot="1" x14ac:dyDescent="0.45"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  <c r="AK686" s="26"/>
      <c r="AL686" s="26"/>
      <c r="AM686" s="26"/>
      <c r="AN686" s="26"/>
      <c r="AO686" s="32"/>
      <c r="AP686" s="26"/>
      <c r="AQ686" s="26"/>
      <c r="AR686" s="26"/>
    </row>
    <row r="687" spans="4:44" ht="19" customHeight="1" thickBot="1" x14ac:dyDescent="0.45">
      <c r="D687" s="21" t="s">
        <v>43</v>
      </c>
      <c r="E687" s="20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31"/>
      <c r="AP687" s="39">
        <v>2</v>
      </c>
      <c r="AQ687" s="39"/>
      <c r="AR687" s="39"/>
    </row>
    <row r="688" spans="4:44" ht="19" customHeight="1" thickBot="1" x14ac:dyDescent="0.45">
      <c r="D688" s="22" t="s">
        <v>44</v>
      </c>
      <c r="E688" s="20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31"/>
      <c r="AP688" s="39">
        <v>2</v>
      </c>
      <c r="AQ688" s="39"/>
      <c r="AR688" s="39"/>
    </row>
    <row r="689" spans="4:44" ht="19" customHeight="1" thickBot="1" x14ac:dyDescent="0.45">
      <c r="D689" s="22" t="s">
        <v>45</v>
      </c>
      <c r="E689" s="20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31"/>
      <c r="AP689" s="39">
        <v>1</v>
      </c>
      <c r="AQ689" s="39"/>
      <c r="AR689" s="39"/>
    </row>
    <row r="690" spans="4:44" ht="19" customHeight="1" thickBot="1" x14ac:dyDescent="0.45">
      <c r="D690" s="22" t="s">
        <v>46</v>
      </c>
      <c r="E690" s="20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31"/>
      <c r="AP690" s="39">
        <v>2</v>
      </c>
      <c r="AQ690" s="39"/>
      <c r="AR690" s="39"/>
    </row>
    <row r="691" spans="4:44" ht="19" customHeight="1" thickBot="1" x14ac:dyDescent="0.45">
      <c r="D691" s="22" t="s">
        <v>47</v>
      </c>
      <c r="E691" s="20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31"/>
      <c r="AP691" s="39">
        <v>2</v>
      </c>
      <c r="AQ691" s="39"/>
      <c r="AR691" s="39"/>
    </row>
    <row r="692" spans="4:44" ht="19" customHeight="1" thickBot="1" x14ac:dyDescent="0.45">
      <c r="D692" s="22" t="s">
        <v>48</v>
      </c>
      <c r="E692" s="20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31"/>
      <c r="AP692" s="39">
        <v>3</v>
      </c>
      <c r="AQ692" s="39"/>
      <c r="AR692" s="39"/>
    </row>
    <row r="693" spans="4:44" ht="19" customHeight="1" thickBot="1" x14ac:dyDescent="0.45">
      <c r="D693" s="22" t="s">
        <v>49</v>
      </c>
      <c r="E693" s="20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31"/>
      <c r="AP693" s="39">
        <v>2</v>
      </c>
      <c r="AQ693" s="39"/>
      <c r="AR693" s="39"/>
    </row>
    <row r="694" spans="4:44" ht="19" customHeight="1" thickBot="1" x14ac:dyDescent="0.45">
      <c r="D694" s="22" t="s">
        <v>50</v>
      </c>
      <c r="E694" s="20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31"/>
      <c r="AP694" s="39">
        <v>1</v>
      </c>
      <c r="AQ694" s="39"/>
      <c r="AR694" s="39"/>
    </row>
    <row r="695" spans="4:44" ht="19" customHeight="1" thickBot="1" x14ac:dyDescent="0.45">
      <c r="D695" s="22" t="s">
        <v>51</v>
      </c>
      <c r="E695" s="20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31"/>
      <c r="AP695" s="39">
        <v>1</v>
      </c>
      <c r="AQ695" s="39"/>
      <c r="AR695" s="39"/>
    </row>
    <row r="696" spans="4:44" ht="19" customHeight="1" thickBot="1" x14ac:dyDescent="0.45">
      <c r="D696" s="22" t="s">
        <v>52</v>
      </c>
      <c r="E696" s="20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31"/>
      <c r="AP696" s="39">
        <v>3</v>
      </c>
      <c r="AQ696" s="39"/>
      <c r="AR696" s="39"/>
    </row>
    <row r="697" spans="4:44" ht="19" customHeight="1" thickBot="1" x14ac:dyDescent="0.45">
      <c r="D697" s="22" t="s">
        <v>53</v>
      </c>
      <c r="E697" s="20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31"/>
      <c r="AP697" s="39">
        <v>2</v>
      </c>
      <c r="AQ697" s="39"/>
      <c r="AR697" s="39"/>
    </row>
    <row r="698" spans="4:44" ht="19" customHeight="1" thickBot="1" x14ac:dyDescent="0.45">
      <c r="D698" s="22" t="s">
        <v>54</v>
      </c>
      <c r="E698" s="20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31"/>
      <c r="AP698" s="39">
        <v>1</v>
      </c>
      <c r="AQ698" s="39"/>
      <c r="AR698" s="39"/>
    </row>
    <row r="699" spans="4:44" ht="19" customHeight="1" thickBot="1" x14ac:dyDescent="0.45">
      <c r="D699" s="22" t="s">
        <v>55</v>
      </c>
      <c r="E699" s="20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31"/>
      <c r="AP699" s="39">
        <v>1</v>
      </c>
      <c r="AQ699" s="39"/>
      <c r="AR699" s="39"/>
    </row>
    <row r="700" spans="4:44" ht="19" customHeight="1" thickBot="1" x14ac:dyDescent="0.45">
      <c r="D700" s="22" t="s">
        <v>56</v>
      </c>
      <c r="E700" s="20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31"/>
      <c r="AP700" s="39">
        <v>2</v>
      </c>
      <c r="AQ700" s="39"/>
      <c r="AR700" s="39"/>
    </row>
    <row r="701" spans="4:44" ht="19" customHeight="1" thickBot="1" x14ac:dyDescent="0.45">
      <c r="D701" s="22" t="s">
        <v>57</v>
      </c>
      <c r="E701" s="20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31"/>
      <c r="AP701" s="39">
        <v>2</v>
      </c>
      <c r="AQ701" s="39"/>
      <c r="AR701" s="39"/>
    </row>
  </sheetData>
  <mergeCells count="562">
    <mergeCell ref="H76:O76"/>
    <mergeCell ref="H91:O91"/>
    <mergeCell ref="H96:O96"/>
    <mergeCell ref="H98:O98"/>
    <mergeCell ref="H108:O108"/>
    <mergeCell ref="AE1:AI1"/>
    <mergeCell ref="AJ1:AO1"/>
    <mergeCell ref="D5:D6"/>
    <mergeCell ref="AP5:AR6"/>
    <mergeCell ref="AP8:AR8"/>
    <mergeCell ref="H60:O60"/>
    <mergeCell ref="H74:O74"/>
    <mergeCell ref="AP15:AR15"/>
    <mergeCell ref="AP16:AR16"/>
    <mergeCell ref="AP17:AR17"/>
    <mergeCell ref="AP18:AR18"/>
    <mergeCell ref="AP19:AR19"/>
    <mergeCell ref="AP20:AR20"/>
    <mergeCell ref="AP9:AR9"/>
    <mergeCell ref="AP10:AR10"/>
    <mergeCell ref="AP11:AR11"/>
    <mergeCell ref="AP12:AR12"/>
    <mergeCell ref="AP13:AR13"/>
    <mergeCell ref="AP14:AR14"/>
    <mergeCell ref="AP28:AR28"/>
    <mergeCell ref="AP30:AR30"/>
    <mergeCell ref="AP31:AR31"/>
    <mergeCell ref="AP32:AR32"/>
    <mergeCell ref="AP33:AR33"/>
    <mergeCell ref="AP34:AR34"/>
    <mergeCell ref="AP22:AR22"/>
    <mergeCell ref="AP23:AR23"/>
    <mergeCell ref="AP24:AR24"/>
    <mergeCell ref="AP25:AR25"/>
    <mergeCell ref="AP26:AR26"/>
    <mergeCell ref="AP27:AR27"/>
    <mergeCell ref="AP43:AR43"/>
    <mergeCell ref="AP44:AR44"/>
    <mergeCell ref="AP45:AR45"/>
    <mergeCell ref="AP46:AR46"/>
    <mergeCell ref="AP47:AR47"/>
    <mergeCell ref="AP48:AR48"/>
    <mergeCell ref="AP35:AR35"/>
    <mergeCell ref="AP37:AR37"/>
    <mergeCell ref="AP38:AR38"/>
    <mergeCell ref="AP39:AR39"/>
    <mergeCell ref="AP40:AR40"/>
    <mergeCell ref="AP42:AR42"/>
    <mergeCell ref="AP55:AR55"/>
    <mergeCell ref="AP56:AR56"/>
    <mergeCell ref="D58:D59"/>
    <mergeCell ref="AP60:AR60"/>
    <mergeCell ref="AP61:AR61"/>
    <mergeCell ref="AP62:AR62"/>
    <mergeCell ref="AP49:AR49"/>
    <mergeCell ref="AP50:AR50"/>
    <mergeCell ref="AP51:AR51"/>
    <mergeCell ref="AP52:AR52"/>
    <mergeCell ref="AP53:AR53"/>
    <mergeCell ref="AP54:AR54"/>
    <mergeCell ref="AP69:AR69"/>
    <mergeCell ref="AP70:AR70"/>
    <mergeCell ref="AP71:AR71"/>
    <mergeCell ref="AP72:AR72"/>
    <mergeCell ref="AP74:AR74"/>
    <mergeCell ref="AP75:AR75"/>
    <mergeCell ref="AP63:AR63"/>
    <mergeCell ref="AP64:AR64"/>
    <mergeCell ref="AP65:AR65"/>
    <mergeCell ref="AP66:AR66"/>
    <mergeCell ref="AP67:AR67"/>
    <mergeCell ref="AP68:AR68"/>
    <mergeCell ref="AP83:AR83"/>
    <mergeCell ref="AP84:AR84"/>
    <mergeCell ref="AP85:AR85"/>
    <mergeCell ref="AP86:AR86"/>
    <mergeCell ref="AP87:AR87"/>
    <mergeCell ref="AP89:AR89"/>
    <mergeCell ref="AP76:AR76"/>
    <mergeCell ref="AP77:AR77"/>
    <mergeCell ref="AP78:AR78"/>
    <mergeCell ref="AP79:AR79"/>
    <mergeCell ref="AP80:AR80"/>
    <mergeCell ref="AP82:AR82"/>
    <mergeCell ref="AP97:AR97"/>
    <mergeCell ref="AP98:AR98"/>
    <mergeCell ref="AP99:AR99"/>
    <mergeCell ref="AP100:AR100"/>
    <mergeCell ref="AP101:AR101"/>
    <mergeCell ref="AP102:AR102"/>
    <mergeCell ref="AP90:AR90"/>
    <mergeCell ref="AP91:AR91"/>
    <mergeCell ref="AP92:AR92"/>
    <mergeCell ref="AP94:AR94"/>
    <mergeCell ref="AP95:AR95"/>
    <mergeCell ref="AP96:AR96"/>
    <mergeCell ref="D113:D114"/>
    <mergeCell ref="AP115:AR115"/>
    <mergeCell ref="AP116:AR116"/>
    <mergeCell ref="AP117:AR117"/>
    <mergeCell ref="AP118:AR118"/>
    <mergeCell ref="AP119:AR119"/>
    <mergeCell ref="AP103:AR103"/>
    <mergeCell ref="AP104:AR104"/>
    <mergeCell ref="AP105:AR105"/>
    <mergeCell ref="AP106:AR106"/>
    <mergeCell ref="AP107:AR107"/>
    <mergeCell ref="AP108:AR108"/>
    <mergeCell ref="AP126:AR126"/>
    <mergeCell ref="AP127:AR127"/>
    <mergeCell ref="AP129:AR129"/>
    <mergeCell ref="AP130:AR130"/>
    <mergeCell ref="AP131:AR131"/>
    <mergeCell ref="AP132:AR132"/>
    <mergeCell ref="AP120:AR120"/>
    <mergeCell ref="AP121:AR121"/>
    <mergeCell ref="AP122:AR122"/>
    <mergeCell ref="AP123:AR123"/>
    <mergeCell ref="AP124:AR124"/>
    <mergeCell ref="AP125:AR125"/>
    <mergeCell ref="AP140:AR140"/>
    <mergeCell ref="AP141:AR141"/>
    <mergeCell ref="AP142:AR142"/>
    <mergeCell ref="AP144:AR144"/>
    <mergeCell ref="AP145:AR145"/>
    <mergeCell ref="AP146:AR146"/>
    <mergeCell ref="AP133:AR133"/>
    <mergeCell ref="AP134:AR134"/>
    <mergeCell ref="AP135:AR135"/>
    <mergeCell ref="AP137:AR137"/>
    <mergeCell ref="AP138:AR138"/>
    <mergeCell ref="AP139:AR139"/>
    <mergeCell ref="D169:D170"/>
    <mergeCell ref="AP171:AR171"/>
    <mergeCell ref="AP154:AR154"/>
    <mergeCell ref="AP155:AR155"/>
    <mergeCell ref="AP156:AR156"/>
    <mergeCell ref="AP157:AR157"/>
    <mergeCell ref="AP158:AR158"/>
    <mergeCell ref="AP159:AR159"/>
    <mergeCell ref="AP147:AR147"/>
    <mergeCell ref="AP149:AR149"/>
    <mergeCell ref="AP150:AR150"/>
    <mergeCell ref="AP151:AR151"/>
    <mergeCell ref="AP152:AR152"/>
    <mergeCell ref="AP153:AR153"/>
    <mergeCell ref="AP172:AR172"/>
    <mergeCell ref="AP173:AR173"/>
    <mergeCell ref="AP174:AR174"/>
    <mergeCell ref="AP175:AR175"/>
    <mergeCell ref="AP176:AR176"/>
    <mergeCell ref="AP177:AR177"/>
    <mergeCell ref="AP160:AR160"/>
    <mergeCell ref="AP161:AR161"/>
    <mergeCell ref="AP162:AR162"/>
    <mergeCell ref="AP163:AR163"/>
    <mergeCell ref="AP185:AR185"/>
    <mergeCell ref="AP186:AR186"/>
    <mergeCell ref="AP187:AR187"/>
    <mergeCell ref="AP188:AR188"/>
    <mergeCell ref="AP189:AR189"/>
    <mergeCell ref="AP190:AR190"/>
    <mergeCell ref="AP178:AR178"/>
    <mergeCell ref="AP179:AR179"/>
    <mergeCell ref="AP180:AR180"/>
    <mergeCell ref="AP181:AR181"/>
    <mergeCell ref="AP182:AR182"/>
    <mergeCell ref="AP183:AR183"/>
    <mergeCell ref="AP198:AR198"/>
    <mergeCell ref="AP200:AR200"/>
    <mergeCell ref="AP201:AR201"/>
    <mergeCell ref="AP202:AR202"/>
    <mergeCell ref="AP203:AR203"/>
    <mergeCell ref="AP205:AR205"/>
    <mergeCell ref="AP191:AR191"/>
    <mergeCell ref="AP193:AR193"/>
    <mergeCell ref="AP194:AR194"/>
    <mergeCell ref="AP195:AR195"/>
    <mergeCell ref="AP196:AR196"/>
    <mergeCell ref="AP197:AR197"/>
    <mergeCell ref="AP212:AR212"/>
    <mergeCell ref="AP213:AR213"/>
    <mergeCell ref="AP214:AR214"/>
    <mergeCell ref="AP215:AR215"/>
    <mergeCell ref="AP216:AR216"/>
    <mergeCell ref="AP217:AR217"/>
    <mergeCell ref="AP206:AR206"/>
    <mergeCell ref="AP207:AR207"/>
    <mergeCell ref="AP208:AR208"/>
    <mergeCell ref="AP209:AR209"/>
    <mergeCell ref="AP210:AR210"/>
    <mergeCell ref="AP211:AR211"/>
    <mergeCell ref="AP234:AR234"/>
    <mergeCell ref="AP235:AR235"/>
    <mergeCell ref="AP236:AR236"/>
    <mergeCell ref="AP237:AR237"/>
    <mergeCell ref="AP238:AR238"/>
    <mergeCell ref="AP239:AR239"/>
    <mergeCell ref="AP218:AR218"/>
    <mergeCell ref="AP219:AR219"/>
    <mergeCell ref="D229:D230"/>
    <mergeCell ref="AP231:AR231"/>
    <mergeCell ref="AP232:AR232"/>
    <mergeCell ref="AP233:AR233"/>
    <mergeCell ref="AP247:AR247"/>
    <mergeCell ref="AP248:AR248"/>
    <mergeCell ref="AP249:AR249"/>
    <mergeCell ref="AP250:AR250"/>
    <mergeCell ref="AP251:AR251"/>
    <mergeCell ref="AP253:AR253"/>
    <mergeCell ref="AP240:AR240"/>
    <mergeCell ref="AP241:AR241"/>
    <mergeCell ref="AP242:AR242"/>
    <mergeCell ref="AP243:AR243"/>
    <mergeCell ref="AP245:AR245"/>
    <mergeCell ref="AP246:AR246"/>
    <mergeCell ref="AP261:AR261"/>
    <mergeCell ref="AP262:AR262"/>
    <mergeCell ref="AP263:AR263"/>
    <mergeCell ref="AP265:AR265"/>
    <mergeCell ref="AP266:AR266"/>
    <mergeCell ref="AP267:AR267"/>
    <mergeCell ref="AP254:AR254"/>
    <mergeCell ref="AP255:AR255"/>
    <mergeCell ref="AP256:AR256"/>
    <mergeCell ref="AP257:AR257"/>
    <mergeCell ref="AP258:AR258"/>
    <mergeCell ref="AP260:AR260"/>
    <mergeCell ref="AP274:AR274"/>
    <mergeCell ref="AP275:AR275"/>
    <mergeCell ref="AP276:AR276"/>
    <mergeCell ref="AP277:AR277"/>
    <mergeCell ref="AP278:AR278"/>
    <mergeCell ref="AP279:AR279"/>
    <mergeCell ref="AP268:AR268"/>
    <mergeCell ref="AP269:AR269"/>
    <mergeCell ref="AP270:AR270"/>
    <mergeCell ref="AP271:AR271"/>
    <mergeCell ref="AP272:AR272"/>
    <mergeCell ref="AP273:AR273"/>
    <mergeCell ref="AP296:AR296"/>
    <mergeCell ref="AP297:AR297"/>
    <mergeCell ref="AP298:AR298"/>
    <mergeCell ref="AP299:AR299"/>
    <mergeCell ref="AP300:AR300"/>
    <mergeCell ref="AP301:AR301"/>
    <mergeCell ref="D289:D290"/>
    <mergeCell ref="AP291:AR291"/>
    <mergeCell ref="AP292:AR292"/>
    <mergeCell ref="AP293:AR293"/>
    <mergeCell ref="AP294:AR294"/>
    <mergeCell ref="AP295:AR295"/>
    <mergeCell ref="AP309:AR309"/>
    <mergeCell ref="AP310:AR310"/>
    <mergeCell ref="AP311:AR311"/>
    <mergeCell ref="AP313:AR313"/>
    <mergeCell ref="AP314:AR314"/>
    <mergeCell ref="AP315:AR315"/>
    <mergeCell ref="AP302:AR302"/>
    <mergeCell ref="AP303:AR303"/>
    <mergeCell ref="AP305:AR305"/>
    <mergeCell ref="AP306:AR306"/>
    <mergeCell ref="AP307:AR307"/>
    <mergeCell ref="AP308:AR308"/>
    <mergeCell ref="AP323:AR323"/>
    <mergeCell ref="AP325:AR325"/>
    <mergeCell ref="AP326:AR326"/>
    <mergeCell ref="AP327:AR327"/>
    <mergeCell ref="AP328:AR328"/>
    <mergeCell ref="AP329:AR329"/>
    <mergeCell ref="AP316:AR316"/>
    <mergeCell ref="AP317:AR317"/>
    <mergeCell ref="AP318:AR318"/>
    <mergeCell ref="AP320:AR320"/>
    <mergeCell ref="AP321:AR321"/>
    <mergeCell ref="AP322:AR322"/>
    <mergeCell ref="AP336:AR336"/>
    <mergeCell ref="AP337:AR337"/>
    <mergeCell ref="AP338:AR338"/>
    <mergeCell ref="AP339:AR339"/>
    <mergeCell ref="D349:D350"/>
    <mergeCell ref="AP351:AR351"/>
    <mergeCell ref="AP330:AR330"/>
    <mergeCell ref="AP331:AR331"/>
    <mergeCell ref="AP332:AR332"/>
    <mergeCell ref="AP333:AR333"/>
    <mergeCell ref="AP334:AR334"/>
    <mergeCell ref="AP335:AR335"/>
    <mergeCell ref="AP358:AR358"/>
    <mergeCell ref="AP359:AR359"/>
    <mergeCell ref="AP360:AR360"/>
    <mergeCell ref="AP361:AR361"/>
    <mergeCell ref="AP362:AR362"/>
    <mergeCell ref="AP363:AR363"/>
    <mergeCell ref="AP352:AR352"/>
    <mergeCell ref="AP353:AR353"/>
    <mergeCell ref="AP354:AR354"/>
    <mergeCell ref="AP355:AR355"/>
    <mergeCell ref="AP356:AR356"/>
    <mergeCell ref="AP357:AR357"/>
    <mergeCell ref="AP371:AR371"/>
    <mergeCell ref="AP373:AR373"/>
    <mergeCell ref="AP374:AR374"/>
    <mergeCell ref="AP375:AR375"/>
    <mergeCell ref="AP376:AR376"/>
    <mergeCell ref="AP377:AR377"/>
    <mergeCell ref="AP365:AR365"/>
    <mergeCell ref="AP366:AR366"/>
    <mergeCell ref="AP367:AR367"/>
    <mergeCell ref="AP368:AR368"/>
    <mergeCell ref="AP369:AR369"/>
    <mergeCell ref="AP370:AR370"/>
    <mergeCell ref="AP386:AR386"/>
    <mergeCell ref="AP387:AR387"/>
    <mergeCell ref="AP388:AR388"/>
    <mergeCell ref="AP389:AR389"/>
    <mergeCell ref="AP390:AR390"/>
    <mergeCell ref="AP391:AR391"/>
    <mergeCell ref="AP378:AR378"/>
    <mergeCell ref="AP380:AR380"/>
    <mergeCell ref="AP381:AR381"/>
    <mergeCell ref="AP382:AR382"/>
    <mergeCell ref="AP383:AR383"/>
    <mergeCell ref="AP385:AR385"/>
    <mergeCell ref="AP398:AR398"/>
    <mergeCell ref="AP399:AR399"/>
    <mergeCell ref="D409:D410"/>
    <mergeCell ref="AP411:AR411"/>
    <mergeCell ref="AP412:AR412"/>
    <mergeCell ref="AP413:AR413"/>
    <mergeCell ref="AP392:AR392"/>
    <mergeCell ref="AP393:AR393"/>
    <mergeCell ref="AP394:AR394"/>
    <mergeCell ref="AP395:AR395"/>
    <mergeCell ref="AP396:AR396"/>
    <mergeCell ref="AP397:AR397"/>
    <mergeCell ref="AP420:AR420"/>
    <mergeCell ref="AP421:AR421"/>
    <mergeCell ref="AP422:AR422"/>
    <mergeCell ref="AP423:AR423"/>
    <mergeCell ref="AP425:AR425"/>
    <mergeCell ref="AP426:AR426"/>
    <mergeCell ref="AP414:AR414"/>
    <mergeCell ref="AP415:AR415"/>
    <mergeCell ref="AP416:AR416"/>
    <mergeCell ref="AP417:AR417"/>
    <mergeCell ref="AP418:AR418"/>
    <mergeCell ref="AP419:AR419"/>
    <mergeCell ref="AP434:AR434"/>
    <mergeCell ref="AP435:AR435"/>
    <mergeCell ref="AP436:AR436"/>
    <mergeCell ref="AP437:AR437"/>
    <mergeCell ref="AP438:AR438"/>
    <mergeCell ref="AP440:AR440"/>
    <mergeCell ref="AP427:AR427"/>
    <mergeCell ref="AP428:AR428"/>
    <mergeCell ref="AP429:AR429"/>
    <mergeCell ref="AP430:AR430"/>
    <mergeCell ref="AP431:AR431"/>
    <mergeCell ref="AP433:AR433"/>
    <mergeCell ref="AP448:AR448"/>
    <mergeCell ref="AP449:AR449"/>
    <mergeCell ref="AP450:AR450"/>
    <mergeCell ref="AP451:AR451"/>
    <mergeCell ref="AP452:AR452"/>
    <mergeCell ref="AP453:AR453"/>
    <mergeCell ref="AP441:AR441"/>
    <mergeCell ref="AP442:AR442"/>
    <mergeCell ref="AP443:AR443"/>
    <mergeCell ref="AP445:AR445"/>
    <mergeCell ref="AP446:AR446"/>
    <mergeCell ref="AP447:AR447"/>
    <mergeCell ref="D469:D470"/>
    <mergeCell ref="AP471:AR471"/>
    <mergeCell ref="AP472:AR472"/>
    <mergeCell ref="AP473:AR473"/>
    <mergeCell ref="AP474:AR474"/>
    <mergeCell ref="AP475:AR475"/>
    <mergeCell ref="AP454:AR454"/>
    <mergeCell ref="AP455:AR455"/>
    <mergeCell ref="AP456:AR456"/>
    <mergeCell ref="AP457:AR457"/>
    <mergeCell ref="AP458:AR458"/>
    <mergeCell ref="AP459:AR459"/>
    <mergeCell ref="AP482:AR482"/>
    <mergeCell ref="AP483:AR483"/>
    <mergeCell ref="AP485:AR485"/>
    <mergeCell ref="AP486:AR486"/>
    <mergeCell ref="AP487:AR487"/>
    <mergeCell ref="AP488:AR488"/>
    <mergeCell ref="AP476:AR476"/>
    <mergeCell ref="AP477:AR477"/>
    <mergeCell ref="AP478:AR478"/>
    <mergeCell ref="AP479:AR479"/>
    <mergeCell ref="AP480:AR480"/>
    <mergeCell ref="AP481:AR481"/>
    <mergeCell ref="AP496:AR496"/>
    <mergeCell ref="AP497:AR497"/>
    <mergeCell ref="AP498:AR498"/>
    <mergeCell ref="AP500:AR500"/>
    <mergeCell ref="AP501:AR501"/>
    <mergeCell ref="AP502:AR502"/>
    <mergeCell ref="AP489:AR489"/>
    <mergeCell ref="AP490:AR490"/>
    <mergeCell ref="AP491:AR491"/>
    <mergeCell ref="AP493:AR493"/>
    <mergeCell ref="AP494:AR494"/>
    <mergeCell ref="AP495:AR495"/>
    <mergeCell ref="D531:D532"/>
    <mergeCell ref="AP533:AR533"/>
    <mergeCell ref="AP510:AR510"/>
    <mergeCell ref="AP511:AR511"/>
    <mergeCell ref="AP512:AR512"/>
    <mergeCell ref="AP513:AR513"/>
    <mergeCell ref="AP514:AR514"/>
    <mergeCell ref="AP515:AR515"/>
    <mergeCell ref="AP503:AR503"/>
    <mergeCell ref="AP505:AR505"/>
    <mergeCell ref="AP506:AR506"/>
    <mergeCell ref="AP507:AR507"/>
    <mergeCell ref="AP508:AR508"/>
    <mergeCell ref="AP509:AR509"/>
    <mergeCell ref="AP534:AR534"/>
    <mergeCell ref="AP535:AR535"/>
    <mergeCell ref="AP536:AR536"/>
    <mergeCell ref="AP537:AR537"/>
    <mergeCell ref="AP538:AR538"/>
    <mergeCell ref="AP539:AR539"/>
    <mergeCell ref="AP516:AR516"/>
    <mergeCell ref="AP517:AR517"/>
    <mergeCell ref="AP518:AR518"/>
    <mergeCell ref="AP519:AR519"/>
    <mergeCell ref="AP547:AR547"/>
    <mergeCell ref="AP548:AR548"/>
    <mergeCell ref="AP549:AR549"/>
    <mergeCell ref="AP550:AR550"/>
    <mergeCell ref="AP551:AR551"/>
    <mergeCell ref="AP552:AR552"/>
    <mergeCell ref="AP540:AR540"/>
    <mergeCell ref="AP541:AR541"/>
    <mergeCell ref="AP542:AR542"/>
    <mergeCell ref="AP543:AR543"/>
    <mergeCell ref="AP544:AR544"/>
    <mergeCell ref="AP545:AR545"/>
    <mergeCell ref="AP560:AR560"/>
    <mergeCell ref="AP562:AR562"/>
    <mergeCell ref="AP563:AR563"/>
    <mergeCell ref="AP564:AR564"/>
    <mergeCell ref="AP565:AR565"/>
    <mergeCell ref="AP567:AR567"/>
    <mergeCell ref="AP553:AR553"/>
    <mergeCell ref="AP555:AR555"/>
    <mergeCell ref="AP556:AR556"/>
    <mergeCell ref="AP557:AR557"/>
    <mergeCell ref="AP558:AR558"/>
    <mergeCell ref="AP559:AR559"/>
    <mergeCell ref="AP574:AR574"/>
    <mergeCell ref="AP575:AR575"/>
    <mergeCell ref="AP576:AR576"/>
    <mergeCell ref="AP577:AR577"/>
    <mergeCell ref="AP578:AR578"/>
    <mergeCell ref="AP579:AR579"/>
    <mergeCell ref="AP568:AR568"/>
    <mergeCell ref="AP569:AR569"/>
    <mergeCell ref="AP570:AR570"/>
    <mergeCell ref="AP571:AR571"/>
    <mergeCell ref="AP572:AR572"/>
    <mergeCell ref="AP573:AR573"/>
    <mergeCell ref="AP596:AR596"/>
    <mergeCell ref="AP597:AR597"/>
    <mergeCell ref="AP598:AR598"/>
    <mergeCell ref="AP599:AR599"/>
    <mergeCell ref="AP600:AR600"/>
    <mergeCell ref="AP601:AR601"/>
    <mergeCell ref="AP580:AR580"/>
    <mergeCell ref="AP581:AR581"/>
    <mergeCell ref="D591:D592"/>
    <mergeCell ref="AP593:AR593"/>
    <mergeCell ref="AP594:AR594"/>
    <mergeCell ref="AP595:AR595"/>
    <mergeCell ref="AP609:AR609"/>
    <mergeCell ref="AP610:AR610"/>
    <mergeCell ref="AP611:AR611"/>
    <mergeCell ref="AP612:AR612"/>
    <mergeCell ref="AP613:AR613"/>
    <mergeCell ref="AP615:AR615"/>
    <mergeCell ref="AP602:AR602"/>
    <mergeCell ref="AP603:AR603"/>
    <mergeCell ref="AP604:AR604"/>
    <mergeCell ref="AP605:AR605"/>
    <mergeCell ref="AP607:AR607"/>
    <mergeCell ref="AP608:AR608"/>
    <mergeCell ref="AP623:AR623"/>
    <mergeCell ref="AP624:AR624"/>
    <mergeCell ref="AP625:AR625"/>
    <mergeCell ref="AP627:AR627"/>
    <mergeCell ref="AP628:AR628"/>
    <mergeCell ref="AP629:AR629"/>
    <mergeCell ref="AP616:AR616"/>
    <mergeCell ref="AP617:AR617"/>
    <mergeCell ref="AP618:AR618"/>
    <mergeCell ref="AP619:AR619"/>
    <mergeCell ref="AP620:AR620"/>
    <mergeCell ref="AP622:AR622"/>
    <mergeCell ref="AP636:AR636"/>
    <mergeCell ref="AP637:AR637"/>
    <mergeCell ref="AP638:AR638"/>
    <mergeCell ref="AP639:AR639"/>
    <mergeCell ref="AP640:AR640"/>
    <mergeCell ref="AP641:AR641"/>
    <mergeCell ref="AP630:AR630"/>
    <mergeCell ref="AP631:AR631"/>
    <mergeCell ref="AP632:AR632"/>
    <mergeCell ref="AP633:AR633"/>
    <mergeCell ref="AP634:AR634"/>
    <mergeCell ref="AP635:AR635"/>
    <mergeCell ref="AP658:AR658"/>
    <mergeCell ref="AP659:AR659"/>
    <mergeCell ref="AP660:AR660"/>
    <mergeCell ref="AP661:AR661"/>
    <mergeCell ref="AP662:AR662"/>
    <mergeCell ref="AP663:AR663"/>
    <mergeCell ref="D651:D652"/>
    <mergeCell ref="AP653:AR653"/>
    <mergeCell ref="AP654:AR654"/>
    <mergeCell ref="AP655:AR655"/>
    <mergeCell ref="AP656:AR656"/>
    <mergeCell ref="AP657:AR657"/>
    <mergeCell ref="AP671:AR671"/>
    <mergeCell ref="AP672:AR672"/>
    <mergeCell ref="AP673:AR673"/>
    <mergeCell ref="AP675:AR675"/>
    <mergeCell ref="AP676:AR676"/>
    <mergeCell ref="AP677:AR677"/>
    <mergeCell ref="AP664:AR664"/>
    <mergeCell ref="AP665:AR665"/>
    <mergeCell ref="AP667:AR667"/>
    <mergeCell ref="AP668:AR668"/>
    <mergeCell ref="AP669:AR669"/>
    <mergeCell ref="AP670:AR670"/>
    <mergeCell ref="AP685:AR685"/>
    <mergeCell ref="AP687:AR687"/>
    <mergeCell ref="AP688:AR688"/>
    <mergeCell ref="AP689:AR689"/>
    <mergeCell ref="AP690:AR690"/>
    <mergeCell ref="AP691:AR691"/>
    <mergeCell ref="AP678:AR678"/>
    <mergeCell ref="AP679:AR679"/>
    <mergeCell ref="AP680:AR680"/>
    <mergeCell ref="AP682:AR682"/>
    <mergeCell ref="AP683:AR683"/>
    <mergeCell ref="AP684:AR684"/>
    <mergeCell ref="AP698:AR698"/>
    <mergeCell ref="AP699:AR699"/>
    <mergeCell ref="AP700:AR700"/>
    <mergeCell ref="AP701:AR701"/>
    <mergeCell ref="AP692:AR692"/>
    <mergeCell ref="AP693:AR693"/>
    <mergeCell ref="AP694:AR694"/>
    <mergeCell ref="AP695:AR695"/>
    <mergeCell ref="AP696:AR696"/>
    <mergeCell ref="AP697:AR697"/>
  </mergeCells>
  <conditionalFormatting sqref="E6:AO6 E7:AR7">
    <cfRule type="expression" dxfId="27" priority="27" stopIfTrue="1">
      <formula>NOT(ISNUMBER(E5))</formula>
    </cfRule>
    <cfRule type="expression" dxfId="26" priority="28">
      <formula>OR(COUNTIF(E8:E56,1)&gt;1,COUNTIF(E8:E56,2)&gt;1,COUNTIF(E8:E56,3)&gt;1)</formula>
    </cfRule>
  </conditionalFormatting>
  <conditionalFormatting sqref="E8:AO20 E22:AO28 E30:AO35 E37:AO40 E42:AO56 E60:G60 P60:AO60 E61:AO72 E74:G74 P74:AO74 E75:AO75 E76:G76 P76:AO76 E77:AO80 E82:AO87 E89:AO90 E91:G91 P91:AO91 E92:AO92 E94:AO95 E96:G96 P96:AO96 E97:AO97 E98:G98 P98:AO98 E99:AO107 E108:G108 P108:AO108 E109:AR111 E115:AO127 E129:AO135 E137:AO142 E144:AO147 E149:AO163 E164:AR167 E171:AO183 E185:AO191 E193:AO198 E200:AO203 E205:AO219 E220:AR227 E231:AO243 E245:AO251 E253:AO258 E260:AO263 E265:AO279 E280:AR287 E291:AO303 E305:AO311 E313:AO318 E320:AO323 E325:AO339 E340:AR347 E351:AO363 E365:AO371 E373:AO378 E380:AO383 E385:AO399 E400:AR407 E411:AO423 E425:AO431 E433:AO438 E440:AO443 E445:AO459 E460:AR467 E471:AO483 E485:AO491 E493:AO498 E500:AO503 E505:AO519 E520:AR529 E533:AO545 E547:AO553 E555:AO560 E562:AO565 E567:AO581 E582:AR589 E593:AO605 E607:AO613 E615:AO620 E622:AO625 E627:AO641 E642:AR649 E653:AO665 E667:AO673 E675:AO680 E682:AO685 E687:AO701">
    <cfRule type="cellIs" dxfId="25" priority="2" stopIfTrue="1" operator="equal">
      <formula>1</formula>
    </cfRule>
    <cfRule type="cellIs" dxfId="24" priority="3" stopIfTrue="1" operator="equal">
      <formula>2</formula>
    </cfRule>
    <cfRule type="cellIs" dxfId="23" priority="4" operator="equal">
      <formula>3</formula>
    </cfRule>
  </conditionalFormatting>
  <conditionalFormatting sqref="E5:AP5 E58:AR58 E113:AR113 E169:AR169 E229:AR229 E289:AR289 E349:AR349 E409:AR409 E469:AR469 E531:AR531 E591:AR591 E651:AR651">
    <cfRule type="expression" dxfId="22" priority="6">
      <formula>NOT(ISNUMBER(E5))</formula>
    </cfRule>
  </conditionalFormatting>
  <conditionalFormatting sqref="E59:AR59">
    <cfRule type="expression" dxfId="21" priority="7" stopIfTrue="1">
      <formula>NOT(ISNUMBER(E58))</formula>
    </cfRule>
    <cfRule type="expression" dxfId="20" priority="8">
      <formula>OR(COUNTIF(E60:E111,1)&gt;1,COUNTIF(E60:E111,2)&gt;1,COUNTIF(E60:E111,3)&gt;1)</formula>
    </cfRule>
  </conditionalFormatting>
  <conditionalFormatting sqref="E114:AR114">
    <cfRule type="expression" dxfId="19" priority="9" stopIfTrue="1">
      <formula>NOT(ISNUMBER(E113))</formula>
    </cfRule>
    <cfRule type="expression" dxfId="18" priority="10">
      <formula>OR(COUNTIF(E115:E167,1)&gt;1,COUNTIF(E115:E167,2)&gt;1,COUNTIF(E115:E167,3)&gt;1)</formula>
    </cfRule>
  </conditionalFormatting>
  <conditionalFormatting sqref="E170:AR170">
    <cfRule type="expression" dxfId="17" priority="11" stopIfTrue="1">
      <formula>NOT(ISNUMBER(E169))</formula>
    </cfRule>
    <cfRule type="expression" dxfId="16" priority="12">
      <formula>OR(COUNTIF(E171:E227,1)&gt;1,COUNTIF(E171:E227,2)&gt;1,COUNTIF(E171:E227,3)&gt;1)</formula>
    </cfRule>
  </conditionalFormatting>
  <conditionalFormatting sqref="E230:AR230">
    <cfRule type="expression" dxfId="15" priority="13" stopIfTrue="1">
      <formula>NOT(ISNUMBER(E229))</formula>
    </cfRule>
    <cfRule type="expression" dxfId="14" priority="14">
      <formula>OR(COUNTIF(E231:E287,1)&gt;1,COUNTIF(E231:E287,2)&gt;1,COUNTIF(E231:E287,3)&gt;1)</formula>
    </cfRule>
  </conditionalFormatting>
  <conditionalFormatting sqref="E290:AR290">
    <cfRule type="expression" dxfId="13" priority="15" stopIfTrue="1">
      <formula>NOT(ISNUMBER(E289))</formula>
    </cfRule>
    <cfRule type="expression" dxfId="12" priority="16">
      <formula>OR(COUNTIF(E291:E347,1)&gt;1,COUNTIF(E291:E347,2)&gt;1,COUNTIF(E291:E347,3)&gt;1)</formula>
    </cfRule>
  </conditionalFormatting>
  <conditionalFormatting sqref="E350:AR350">
    <cfRule type="expression" dxfId="11" priority="17" stopIfTrue="1">
      <formula>NOT(ISNUMBER(E349))</formula>
    </cfRule>
    <cfRule type="expression" dxfId="10" priority="18">
      <formula>OR(COUNTIF(E351:E407,1)&gt;1,COUNTIF(E351:E407,2)&gt;1,COUNTIF(E351:E407,3)&gt;1)</formula>
    </cfRule>
  </conditionalFormatting>
  <conditionalFormatting sqref="E410:AR410">
    <cfRule type="expression" dxfId="9" priority="19" stopIfTrue="1">
      <formula>NOT(ISNUMBER(E409))</formula>
    </cfRule>
    <cfRule type="expression" dxfId="8" priority="20">
      <formula>OR(COUNTIF(E411:E467,1)&gt;1,COUNTIF(E411:E467,2)&gt;1,COUNTIF(E411:E467,3)&gt;1)</formula>
    </cfRule>
  </conditionalFormatting>
  <conditionalFormatting sqref="E470:AR470">
    <cfRule type="expression" dxfId="7" priority="21" stopIfTrue="1">
      <formula>NOT(ISNUMBER(E469))</formula>
    </cfRule>
    <cfRule type="expression" dxfId="6" priority="22">
      <formula>OR(COUNTIF(E471:E529,1)&gt;1,COUNTIF(E471:E529,2)&gt;1,COUNTIF(E471:E529,3)&gt;1)</formula>
    </cfRule>
  </conditionalFormatting>
  <conditionalFormatting sqref="E532:AR532">
    <cfRule type="expression" dxfId="5" priority="23" stopIfTrue="1">
      <formula>NOT(ISNUMBER(E531))</formula>
    </cfRule>
    <cfRule type="expression" dxfId="4" priority="24">
      <formula>OR(COUNTIF(E533:E589,1)&gt;1,COUNTIF(E533:E589,2)&gt;1,COUNTIF(E533:E589,3)&gt;1)</formula>
    </cfRule>
  </conditionalFormatting>
  <conditionalFormatting sqref="E592:AR592">
    <cfRule type="expression" dxfId="3" priority="25" stopIfTrue="1">
      <formula>NOT(ISNUMBER(E591))</formula>
    </cfRule>
    <cfRule type="expression" dxfId="2" priority="26">
      <formula>OR(COUNTIF(E593:E649,1)&gt;1,COUNTIF(E593:E649,2)&gt;1,COUNTIF(E593:E649,3)&gt;1)</formula>
    </cfRule>
  </conditionalFormatting>
  <conditionalFormatting sqref="E652:AR652">
    <cfRule type="expression" dxfId="1" priority="1" stopIfTrue="1">
      <formula>NOT(ISNUMBER(E651))</formula>
    </cfRule>
    <cfRule type="expression" dxfId="0" priority="5">
      <formula>OR(COUNTIF(E653:E660,1)&gt;1,COUNTIF(E653:E660,2)&gt;1,COUNTIF(E653:E660,3)&gt;1)</formula>
    </cfRule>
  </conditionalFormatting>
  <dataValidations count="2">
    <dataValidation allowBlank="1" showInputMessage="1" showErrorMessage="1" prompt="Use the spin buttons to quickly change the calendar year" sqref="AJ1" xr:uid="{A8A926FA-D9E0-45F1-8D7F-DB71C88C3367}"/>
    <dataValidation allowBlank="1" showInputMessage="1" showErrorMessage="1" promptTitle="Shift Work Calendar" prompt="Use the spin buttons to change the calendar year. _x000a__x000a_Calendar automatically shows daily shift schedule for up to 3 jobs. Setup the job/shift details and pattern from the Jobs and Shifts tab._x000a__x000a_Days highlighted red indicate schedule conflicts." sqref="C1" xr:uid="{85F12FBE-8FD1-4501-AFD2-94B01F6D132A}"/>
  </dataValidations>
  <hyperlinks>
    <hyperlink ref="H60:O60" r:id="rId1" display="BNOC- Alan Rosen- x2 " xr:uid="{C9B68A0A-8354-472C-9E81-53F67B06CCA2}"/>
  </hyperlinks>
  <printOptions horizontalCentered="1" verticalCentered="1"/>
  <pageMargins left="0.3" right="0.3" top="0.3" bottom="0.3" header="0.3" footer="0.3"/>
  <pageSetup paperSize="9" scale="5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Spinner">
              <controlPr defaultSize="0" print="0" autoPict="0" altText="Use the spinner button to change calendar year or change the year in cell AE3">
                <anchor moveWithCells="1">
                  <from>
                    <xdr:col>35</xdr:col>
                    <xdr:colOff>57150</xdr:colOff>
                    <xdr:row>0</xdr:row>
                    <xdr:rowOff>317500</xdr:rowOff>
                  </from>
                  <to>
                    <xdr:col>36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C1F4480B4CDD48AC91DAF4913C3ADA" ma:contentTypeVersion="19" ma:contentTypeDescription="Create a new document." ma:contentTypeScope="" ma:versionID="25a7fd792a1e059ee503af6c5f664947">
  <xsd:schema xmlns:xsd="http://www.w3.org/2001/XMLSchema" xmlns:xs="http://www.w3.org/2001/XMLSchema" xmlns:p="http://schemas.microsoft.com/office/2006/metadata/properties" xmlns:ns2="e90a8e2d-7e05-4bf8-b621-c08b3e210cb8" xmlns:ns3="f79c8f6e-15c4-4d69-86ed-2fb1470b1698" targetNamespace="http://schemas.microsoft.com/office/2006/metadata/properties" ma:root="true" ma:fieldsID="b495073605957f566d54a420ed0ed352" ns2:_="" ns3:_="">
    <xsd:import namespace="e90a8e2d-7e05-4bf8-b621-c08b3e210cb8"/>
    <xsd:import namespace="f79c8f6e-15c4-4d69-86ed-2fb1470b16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a8e2d-7e05-4bf8-b621-c08b3e210c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7" nillable="true" ma:displayName="Sign-off status" ma:internalName="Sign_x002d_off_x0020_status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beef73c-1a2c-4587-8fdd-7760a332a3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9c8f6e-15c4-4d69-86ed-2fb1470b169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38329ca-c1ba-442c-ae4c-9f2417500952}" ma:internalName="TaxCatchAll" ma:showField="CatchAllData" ma:web="f79c8f6e-15c4-4d69-86ed-2fb1470b16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e90a8e2d-7e05-4bf8-b621-c08b3e210cb8" xsi:nil="true"/>
    <TaxCatchAll xmlns="f79c8f6e-15c4-4d69-86ed-2fb1470b1698" xsi:nil="true"/>
    <lcf76f155ced4ddcb4097134ff3c332f xmlns="e90a8e2d-7e05-4bf8-b621-c08b3e210cb8">
      <Terms xmlns="http://schemas.microsoft.com/office/infopath/2007/PartnerControls"/>
    </lcf76f155ced4ddcb4097134ff3c332f>
    <_Flow_SignoffStatus xmlns="e90a8e2d-7e05-4bf8-b621-c08b3e210cb8" xsi:nil="true"/>
  </documentManagement>
</p:properties>
</file>

<file path=customXml/itemProps1.xml><?xml version="1.0" encoding="utf-8"?>
<ds:datastoreItem xmlns:ds="http://schemas.openxmlformats.org/officeDocument/2006/customXml" ds:itemID="{284082A6-59E9-47FE-A802-4274C54383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1A1042-B9D1-42BE-B2E0-6F8FAD28E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0a8e2d-7e05-4bf8-b621-c08b3e210cb8"/>
    <ds:schemaRef ds:uri="f79c8f6e-15c4-4d69-86ed-2fb1470b16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8A6C93-A69C-4202-9E10-B2DDF75C0D1E}">
  <ds:schemaRefs>
    <ds:schemaRef ds:uri="http://schemas.microsoft.com/office/2006/metadata/properties"/>
    <ds:schemaRef ds:uri="http://schemas.microsoft.com/office/infopath/2007/PartnerControls"/>
    <ds:schemaRef ds:uri="e90a8e2d-7e05-4bf8-b621-c08b3e210cb8"/>
    <ds:schemaRef ds:uri="f79c8f6e-15c4-4d69-86ed-2fb1470b169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TM89105255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2025</vt:lpstr>
      <vt:lpstr>2026</vt:lpstr>
      <vt:lpstr>'2026'!CalendarYear</vt:lpstr>
      <vt:lpstr>CalendarYear</vt:lpstr>
      <vt:lpstr>'2026'!Range_Dates</vt:lpstr>
      <vt:lpstr>Range_Dates</vt:lpstr>
      <vt:lpstr>'2026'!Range_Days</vt:lpstr>
      <vt:lpstr>Range_Days</vt:lpstr>
      <vt:lpstr>'2026'!Range_Weekdays</vt:lpstr>
      <vt:lpstr>Range_Weekdays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2020-10-06T19:45:38Z</dcterms:created>
  <dcterms:modified xsi:type="dcterms:W3CDTF">2026-01-28T12:32:29Z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0x01010002C1F4480B4CDD48AC91DAF4913C3ADA</vt:lpwstr>
  </property>
  <property fmtid="{D5CDD505-2E9C-101B-9397-08002B2CF9AE}" pid="3" name="MediaServiceImageTags">
    <vt:lpwstr/>
  </property>
</Properties>
</file>